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E Power Stats\2020 Power Stats_PGSDMS\final\"/>
    </mc:Choice>
  </mc:AlternateContent>
  <xr:revisionPtr revIDLastSave="0" documentId="13_ncr:1_{5296D282-A385-4C3B-B342-13B6B7F3087A}" xr6:coauthVersionLast="46" xr6:coauthVersionMax="46" xr10:uidLastSave="{00000000-0000-0000-0000-000000000000}"/>
  <bookViews>
    <workbookView xWindow="28680" yWindow="-120" windowWidth="29040" windowHeight="15990" xr2:uid="{DB23945D-AEF4-4AC7-A9D7-95151632BA69}"/>
  </bookViews>
  <sheets>
    <sheet name="6. Electricity Consumption" sheetId="1" r:id="rId1"/>
  </sheets>
  <externalReferences>
    <externalReference r:id="rId2"/>
  </externalReferences>
  <definedNames>
    <definedName name="_xlnm.Print_Area" localSheetId="0">'6. Electricity Consumption'!$A$1:$T$49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I53" i="1"/>
  <c r="E51" i="1"/>
  <c r="G50" i="1"/>
  <c r="A47" i="1"/>
  <c r="S44" i="1"/>
  <c r="R44" i="1"/>
  <c r="Q44" i="1"/>
  <c r="P44" i="1"/>
  <c r="O44" i="1"/>
  <c r="N44" i="1"/>
  <c r="M44" i="1"/>
  <c r="L44" i="1"/>
  <c r="K44" i="1"/>
  <c r="K54" i="1" s="1"/>
  <c r="J44" i="1"/>
  <c r="J54" i="1" s="1"/>
  <c r="I44" i="1"/>
  <c r="I54" i="1" s="1"/>
  <c r="H44" i="1"/>
  <c r="H54" i="1" s="1"/>
  <c r="G44" i="1"/>
  <c r="F44" i="1"/>
  <c r="F54" i="1" s="1"/>
  <c r="E44" i="1"/>
  <c r="E54" i="1" s="1"/>
  <c r="D44" i="1"/>
  <c r="S43" i="1"/>
  <c r="R43" i="1"/>
  <c r="Q43" i="1"/>
  <c r="P43" i="1"/>
  <c r="O43" i="1"/>
  <c r="N43" i="1"/>
  <c r="M43" i="1"/>
  <c r="L43" i="1"/>
  <c r="K43" i="1"/>
  <c r="K53" i="1" s="1"/>
  <c r="J43" i="1"/>
  <c r="J53" i="1" s="1"/>
  <c r="I43" i="1"/>
  <c r="H43" i="1"/>
  <c r="H53" i="1" s="1"/>
  <c r="G43" i="1"/>
  <c r="G53" i="1" s="1"/>
  <c r="F43" i="1"/>
  <c r="F53" i="1" s="1"/>
  <c r="E43" i="1"/>
  <c r="E53" i="1" s="1"/>
  <c r="D43" i="1"/>
  <c r="D53" i="1" s="1"/>
  <c r="C43" i="1"/>
  <c r="O42" i="1"/>
  <c r="O45" i="1" s="1"/>
  <c r="G42" i="1"/>
  <c r="G52" i="1" s="1"/>
  <c r="S41" i="1"/>
  <c r="R41" i="1"/>
  <c r="Q41" i="1"/>
  <c r="P41" i="1"/>
  <c r="O41" i="1"/>
  <c r="N41" i="1"/>
  <c r="M41" i="1"/>
  <c r="L41" i="1"/>
  <c r="K41" i="1"/>
  <c r="K51" i="1" s="1"/>
  <c r="J41" i="1"/>
  <c r="J51" i="1" s="1"/>
  <c r="I41" i="1"/>
  <c r="I51" i="1" s="1"/>
  <c r="H41" i="1"/>
  <c r="H51" i="1" s="1"/>
  <c r="G41" i="1"/>
  <c r="G51" i="1" s="1"/>
  <c r="F41" i="1"/>
  <c r="F51" i="1" s="1"/>
  <c r="E41" i="1"/>
  <c r="D41" i="1"/>
  <c r="D51" i="1" s="1"/>
  <c r="C41" i="1"/>
  <c r="C51" i="1" s="1"/>
  <c r="B41" i="1"/>
  <c r="S40" i="1"/>
  <c r="R40" i="1"/>
  <c r="Q40" i="1"/>
  <c r="P40" i="1"/>
  <c r="O40" i="1"/>
  <c r="N40" i="1"/>
  <c r="M40" i="1"/>
  <c r="L40" i="1"/>
  <c r="K40" i="1"/>
  <c r="K50" i="1" s="1"/>
  <c r="J40" i="1"/>
  <c r="J50" i="1" s="1"/>
  <c r="I40" i="1"/>
  <c r="I50" i="1" s="1"/>
  <c r="H40" i="1"/>
  <c r="H50" i="1" s="1"/>
  <c r="G40" i="1"/>
  <c r="F40" i="1"/>
  <c r="F50" i="1" s="1"/>
  <c r="E40" i="1"/>
  <c r="E50" i="1" s="1"/>
  <c r="D40" i="1"/>
  <c r="D50" i="1" s="1"/>
  <c r="C40" i="1"/>
  <c r="S39" i="1"/>
  <c r="R39" i="1"/>
  <c r="Q39" i="1"/>
  <c r="P39" i="1"/>
  <c r="O39" i="1"/>
  <c r="N39" i="1"/>
  <c r="M39" i="1"/>
  <c r="L39" i="1"/>
  <c r="K39" i="1"/>
  <c r="K49" i="1" s="1"/>
  <c r="J39" i="1"/>
  <c r="J49" i="1" s="1"/>
  <c r="I39" i="1"/>
  <c r="H39" i="1"/>
  <c r="H49" i="1" s="1"/>
  <c r="G39" i="1"/>
  <c r="G49" i="1" s="1"/>
  <c r="F39" i="1"/>
  <c r="F49" i="1" s="1"/>
  <c r="E39" i="1"/>
  <c r="E49" i="1" s="1"/>
  <c r="D39" i="1"/>
  <c r="D49" i="1" s="1"/>
  <c r="C39" i="1"/>
  <c r="C49" i="1" s="1"/>
  <c r="S38" i="1"/>
  <c r="S42" i="1" s="1"/>
  <c r="R38" i="1"/>
  <c r="R42" i="1" s="1"/>
  <c r="R45" i="1" s="1"/>
  <c r="Q38" i="1"/>
  <c r="Q42" i="1" s="1"/>
  <c r="Q45" i="1" s="1"/>
  <c r="P38" i="1"/>
  <c r="P42" i="1" s="1"/>
  <c r="P45" i="1" s="1"/>
  <c r="O38" i="1"/>
  <c r="N38" i="1"/>
  <c r="N42" i="1" s="1"/>
  <c r="N45" i="1" s="1"/>
  <c r="M38" i="1"/>
  <c r="M42" i="1" s="1"/>
  <c r="M45" i="1" s="1"/>
  <c r="L38" i="1"/>
  <c r="L42" i="1" s="1"/>
  <c r="L45" i="1" s="1"/>
  <c r="K38" i="1"/>
  <c r="K42" i="1" s="1"/>
  <c r="J38" i="1"/>
  <c r="J48" i="1" s="1"/>
  <c r="I38" i="1"/>
  <c r="I48" i="1" s="1"/>
  <c r="H38" i="1"/>
  <c r="H48" i="1" s="1"/>
  <c r="G38" i="1"/>
  <c r="G48" i="1" s="1"/>
  <c r="F38" i="1"/>
  <c r="F42" i="1" s="1"/>
  <c r="E38" i="1"/>
  <c r="E42" i="1" s="1"/>
  <c r="D38" i="1"/>
  <c r="D42" i="1" s="1"/>
  <c r="C38" i="1"/>
  <c r="C42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D37" i="1"/>
  <c r="C34" i="1"/>
  <c r="C44" i="1" s="1"/>
  <c r="B34" i="1"/>
  <c r="B33" i="1"/>
  <c r="S32" i="1"/>
  <c r="S35" i="1" s="1"/>
  <c r="R32" i="1"/>
  <c r="R35" i="1" s="1"/>
  <c r="Q32" i="1"/>
  <c r="Q35" i="1" s="1"/>
  <c r="P32" i="1"/>
  <c r="P35" i="1" s="1"/>
  <c r="O32" i="1"/>
  <c r="O35" i="1" s="1"/>
  <c r="N32" i="1"/>
  <c r="N35" i="1" s="1"/>
  <c r="M32" i="1"/>
  <c r="M35" i="1" s="1"/>
  <c r="L32" i="1"/>
  <c r="L35" i="1" s="1"/>
  <c r="K32" i="1"/>
  <c r="K35" i="1" s="1"/>
  <c r="J32" i="1"/>
  <c r="J35" i="1" s="1"/>
  <c r="I32" i="1"/>
  <c r="I35" i="1" s="1"/>
  <c r="H32" i="1"/>
  <c r="H35" i="1" s="1"/>
  <c r="G32" i="1"/>
  <c r="G35" i="1" s="1"/>
  <c r="F32" i="1"/>
  <c r="F35" i="1" s="1"/>
  <c r="E32" i="1"/>
  <c r="E35" i="1" s="1"/>
  <c r="D32" i="1"/>
  <c r="D35" i="1" s="1"/>
  <c r="C32" i="1"/>
  <c r="C35" i="1" s="1"/>
  <c r="B31" i="1"/>
  <c r="B30" i="1"/>
  <c r="B29" i="1"/>
  <c r="B28" i="1"/>
  <c r="B32" i="1" s="1"/>
  <c r="B35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D27" i="1"/>
  <c r="S25" i="1"/>
  <c r="T21" i="1" s="1"/>
  <c r="N25" i="1"/>
  <c r="K25" i="1"/>
  <c r="F25" i="1"/>
  <c r="C25" i="1"/>
  <c r="B24" i="1"/>
  <c r="B23" i="1"/>
  <c r="S22" i="1"/>
  <c r="T22" i="1" s="1"/>
  <c r="R22" i="1"/>
  <c r="R25" i="1" s="1"/>
  <c r="Q22" i="1"/>
  <c r="Q25" i="1" s="1"/>
  <c r="P22" i="1"/>
  <c r="P25" i="1" s="1"/>
  <c r="O22" i="1"/>
  <c r="O25" i="1" s="1"/>
  <c r="N22" i="1"/>
  <c r="M22" i="1"/>
  <c r="M25" i="1" s="1"/>
  <c r="L22" i="1"/>
  <c r="L25" i="1" s="1"/>
  <c r="K22" i="1"/>
  <c r="J22" i="1"/>
  <c r="J25" i="1" s="1"/>
  <c r="I22" i="1"/>
  <c r="I25" i="1" s="1"/>
  <c r="H22" i="1"/>
  <c r="H25" i="1" s="1"/>
  <c r="G22" i="1"/>
  <c r="G25" i="1" s="1"/>
  <c r="F22" i="1"/>
  <c r="E22" i="1"/>
  <c r="E25" i="1" s="1"/>
  <c r="D22" i="1"/>
  <c r="D25" i="1" s="1"/>
  <c r="C22" i="1"/>
  <c r="B21" i="1"/>
  <c r="B20" i="1"/>
  <c r="B19" i="1"/>
  <c r="B18" i="1"/>
  <c r="B22" i="1" s="1"/>
  <c r="B25" i="1" s="1"/>
  <c r="T17" i="1"/>
  <c r="T27" i="1" s="1"/>
  <c r="T37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R15" i="1"/>
  <c r="M15" i="1"/>
  <c r="J15" i="1"/>
  <c r="E15" i="1"/>
  <c r="B14" i="1"/>
  <c r="B44" i="1" s="1"/>
  <c r="B13" i="1"/>
  <c r="B43" i="1" s="1"/>
  <c r="S12" i="1"/>
  <c r="S15" i="1" s="1"/>
  <c r="R12" i="1"/>
  <c r="Q12" i="1"/>
  <c r="Q15" i="1" s="1"/>
  <c r="P12" i="1"/>
  <c r="P15" i="1" s="1"/>
  <c r="O12" i="1"/>
  <c r="O15" i="1" s="1"/>
  <c r="N12" i="1"/>
  <c r="N15" i="1" s="1"/>
  <c r="M12" i="1"/>
  <c r="L12" i="1"/>
  <c r="L15" i="1" s="1"/>
  <c r="K12" i="1"/>
  <c r="K15" i="1" s="1"/>
  <c r="J12" i="1"/>
  <c r="I12" i="1"/>
  <c r="I15" i="1" s="1"/>
  <c r="H12" i="1"/>
  <c r="H15" i="1" s="1"/>
  <c r="G12" i="1"/>
  <c r="G15" i="1" s="1"/>
  <c r="F12" i="1"/>
  <c r="F15" i="1" s="1"/>
  <c r="E12" i="1"/>
  <c r="D12" i="1"/>
  <c r="D15" i="1" s="1"/>
  <c r="C12" i="1"/>
  <c r="C15" i="1" s="1"/>
  <c r="B11" i="1"/>
  <c r="B10" i="1"/>
  <c r="B40" i="1" s="1"/>
  <c r="B9" i="1"/>
  <c r="B39" i="1" s="1"/>
  <c r="B8" i="1"/>
  <c r="B38" i="1" s="1"/>
  <c r="G7" i="1"/>
  <c r="H7" i="1" s="1"/>
  <c r="I7" i="1" s="1"/>
  <c r="J7" i="1" s="1"/>
  <c r="K7" i="1" s="1"/>
  <c r="L7" i="1" s="1"/>
  <c r="M7" i="1" s="1"/>
  <c r="N7" i="1" s="1"/>
  <c r="O7" i="1" s="1"/>
  <c r="F7" i="1"/>
  <c r="E7" i="1"/>
  <c r="D7" i="1"/>
  <c r="C54" i="1" l="1"/>
  <c r="T14" i="1"/>
  <c r="T10" i="1"/>
  <c r="T13" i="1"/>
  <c r="T9" i="1"/>
  <c r="T12" i="1"/>
  <c r="T11" i="1"/>
  <c r="T15" i="1"/>
  <c r="T8" i="1"/>
  <c r="C53" i="1"/>
  <c r="L53" i="1" s="1"/>
  <c r="C45" i="1"/>
  <c r="K45" i="1"/>
  <c r="S45" i="1"/>
  <c r="T42" i="1"/>
  <c r="D54" i="1"/>
  <c r="L49" i="1"/>
  <c r="T34" i="1"/>
  <c r="T31" i="1"/>
  <c r="T30" i="1"/>
  <c r="T33" i="1"/>
  <c r="T29" i="1"/>
  <c r="T28" i="1"/>
  <c r="T35" i="1"/>
  <c r="E45" i="1"/>
  <c r="E52" i="1"/>
  <c r="C50" i="1"/>
  <c r="L50" i="1" s="1"/>
  <c r="D45" i="1"/>
  <c r="D52" i="1"/>
  <c r="B42" i="1"/>
  <c r="B45" i="1" s="1"/>
  <c r="F52" i="1"/>
  <c r="F45" i="1"/>
  <c r="F55" i="1" s="1"/>
  <c r="L51" i="1"/>
  <c r="T41" i="1"/>
  <c r="I49" i="1"/>
  <c r="B12" i="1"/>
  <c r="B15" i="1" s="1"/>
  <c r="T18" i="1"/>
  <c r="T25" i="1"/>
  <c r="T32" i="1"/>
  <c r="T38" i="1"/>
  <c r="H42" i="1"/>
  <c r="G45" i="1"/>
  <c r="G55" i="1" s="1"/>
  <c r="D48" i="1"/>
  <c r="I42" i="1"/>
  <c r="E48" i="1"/>
  <c r="K48" i="1"/>
  <c r="T19" i="1"/>
  <c r="J42" i="1"/>
  <c r="F48" i="1"/>
  <c r="C48" i="1"/>
  <c r="L48" i="1" s="1"/>
  <c r="T23" i="1"/>
  <c r="T20" i="1"/>
  <c r="T24" i="1"/>
  <c r="J52" i="1" l="1"/>
  <c r="J45" i="1"/>
  <c r="K55" i="1" s="1"/>
  <c r="T40" i="1"/>
  <c r="T45" i="1"/>
  <c r="T44" i="1"/>
  <c r="T43" i="1"/>
  <c r="I52" i="1"/>
  <c r="I45" i="1"/>
  <c r="I55" i="1" s="1"/>
  <c r="D55" i="1"/>
  <c r="K52" i="1"/>
  <c r="C55" i="1"/>
  <c r="H52" i="1"/>
  <c r="H45" i="1"/>
  <c r="H55" i="1" s="1"/>
  <c r="E55" i="1"/>
  <c r="T39" i="1"/>
  <c r="C52" i="1"/>
  <c r="L54" i="1"/>
  <c r="J55" i="1" l="1"/>
  <c r="L55" i="1" s="1"/>
  <c r="L52" i="1"/>
</calcChain>
</file>

<file path=xl/sharedStrings.xml><?xml version="1.0" encoding="utf-8"?>
<sst xmlns="http://schemas.openxmlformats.org/spreadsheetml/2006/main" count="41" uniqueCount="17">
  <si>
    <t xml:space="preserve">                   Department of Energy</t>
  </si>
  <si>
    <t xml:space="preserve">                2020 POWER STATISTICS</t>
  </si>
  <si>
    <t xml:space="preserve">  Electricity Sales and Consumption per Grid, by Sector</t>
  </si>
  <si>
    <t xml:space="preserve">  In MWh</t>
  </si>
  <si>
    <t>Luzon</t>
  </si>
  <si>
    <t>% Share - 2020</t>
  </si>
  <si>
    <t xml:space="preserve">     Residential</t>
  </si>
  <si>
    <t xml:space="preserve">     Commercial</t>
  </si>
  <si>
    <t xml:space="preserve">     Industrial</t>
  </si>
  <si>
    <t xml:space="preserve">     Others</t>
  </si>
  <si>
    <t>Electricity Sales</t>
  </si>
  <si>
    <t>Own-Use</t>
  </si>
  <si>
    <t>System Loss</t>
  </si>
  <si>
    <t>Electricity Consumption</t>
  </si>
  <si>
    <t>Visayas</t>
  </si>
  <si>
    <t>Mindanao</t>
  </si>
  <si>
    <t>Philippines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</si>
</sst>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00"/>
      <name val="Arial Unicode MS"/>
      <family val="2"/>
    </font>
    <font>
      <b/>
      <sz val="14"/>
      <color rgb="FFFFFF00"/>
      <name val="Arial Unicode MS"/>
      <family val="2"/>
    </font>
    <font>
      <sz val="10"/>
      <name val="Helv"/>
    </font>
    <font>
      <b/>
      <sz val="11"/>
      <name val="Arial Unicode MS"/>
      <family val="2"/>
    </font>
    <font>
      <sz val="11"/>
      <name val="Arial Unicode MS"/>
      <family val="2"/>
    </font>
    <font>
      <sz val="10"/>
      <name val="Arial"/>
      <family val="2"/>
    </font>
    <font>
      <sz val="11"/>
      <color indexed="9"/>
      <name val="Arial Unicode MS"/>
      <family val="2"/>
    </font>
    <font>
      <b/>
      <sz val="11"/>
      <color indexed="9"/>
      <name val="Arial Unicode MS"/>
      <family val="2"/>
    </font>
    <font>
      <sz val="11"/>
      <color rgb="FFFFFF00"/>
      <name val="Arial Unicode MS"/>
      <family val="2"/>
    </font>
    <font>
      <sz val="12"/>
      <name val="Arial Unicode MS"/>
      <family val="2"/>
    </font>
    <font>
      <i/>
      <sz val="11"/>
      <name val="Arial Unicode MS"/>
      <family val="2"/>
    </font>
    <font>
      <b/>
      <i/>
      <sz val="11"/>
      <name val="Arial Unicode MS"/>
      <family val="2"/>
    </font>
    <font>
      <b/>
      <sz val="12"/>
      <name val="Arial Unicode MS"/>
      <family val="2"/>
    </font>
    <font>
      <b/>
      <sz val="12"/>
      <color rgb="FFFFFF00"/>
      <name val="Arial Unicode MS"/>
      <family val="2"/>
    </font>
    <font>
      <sz val="12"/>
      <color rgb="FFFFFF00"/>
      <name val="Arial Unicode MS"/>
      <family val="2"/>
    </font>
    <font>
      <sz val="9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164" fontId="2" fillId="2" borderId="0" xfId="2" applyNumberFormat="1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5" fillId="3" borderId="0" xfId="3" applyFont="1" applyFill="1"/>
    <xf numFmtId="0" fontId="6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166" fontId="5" fillId="3" borderId="0" xfId="1" applyNumberFormat="1" applyFont="1" applyFill="1" applyAlignment="1">
      <alignment horizontal="center"/>
    </xf>
    <xf numFmtId="10" fontId="6" fillId="3" borderId="0" xfId="4" applyNumberFormat="1" applyFont="1" applyFill="1" applyAlignment="1">
      <alignment horizontal="center"/>
    </xf>
    <xf numFmtId="0" fontId="6" fillId="4" borderId="0" xfId="3" applyFont="1" applyFill="1" applyAlignment="1">
      <alignment horizontal="center"/>
    </xf>
    <xf numFmtId="0" fontId="5" fillId="4" borderId="0" xfId="3" applyFont="1" applyFill="1" applyAlignment="1">
      <alignment horizontal="center"/>
    </xf>
    <xf numFmtId="166" fontId="5" fillId="4" borderId="0" xfId="1" applyNumberFormat="1" applyFont="1" applyFill="1" applyAlignment="1">
      <alignment horizontal="center"/>
    </xf>
    <xf numFmtId="10" fontId="6" fillId="4" borderId="0" xfId="4" applyNumberFormat="1" applyFont="1" applyFill="1" applyAlignment="1">
      <alignment horizontal="center"/>
    </xf>
    <xf numFmtId="0" fontId="5" fillId="0" borderId="0" xfId="3" applyFont="1"/>
    <xf numFmtId="0" fontId="5" fillId="4" borderId="0" xfId="3" applyFont="1" applyFill="1"/>
    <xf numFmtId="3" fontId="6" fillId="4" borderId="0" xfId="3" applyNumberFormat="1" applyFont="1" applyFill="1"/>
    <xf numFmtId="0" fontId="6" fillId="4" borderId="0" xfId="3" applyFont="1" applyFill="1"/>
    <xf numFmtId="164" fontId="8" fillId="4" borderId="0" xfId="4" applyNumberFormat="1" applyFont="1" applyFill="1"/>
    <xf numFmtId="164" fontId="9" fillId="4" borderId="0" xfId="4" applyNumberFormat="1" applyFont="1" applyFill="1"/>
    <xf numFmtId="166" fontId="9" fillId="4" borderId="0" xfId="1" applyNumberFormat="1" applyFont="1" applyFill="1"/>
    <xf numFmtId="10" fontId="8" fillId="4" borderId="0" xfId="4" applyNumberFormat="1" applyFont="1" applyFill="1"/>
    <xf numFmtId="0" fontId="6" fillId="0" borderId="0" xfId="3" applyFont="1"/>
    <xf numFmtId="0" fontId="2" fillId="5" borderId="1" xfId="3" applyFont="1" applyFill="1" applyBorder="1"/>
    <xf numFmtId="0" fontId="2" fillId="5" borderId="1" xfId="3" applyFont="1" applyFill="1" applyBorder="1" applyAlignment="1">
      <alignment horizontal="center"/>
    </xf>
    <xf numFmtId="10" fontId="10" fillId="5" borderId="1" xfId="4" applyNumberFormat="1" applyFont="1" applyFill="1" applyBorder="1" applyAlignment="1">
      <alignment horizontal="center"/>
    </xf>
    <xf numFmtId="0" fontId="11" fillId="0" borderId="0" xfId="3" applyFont="1"/>
    <xf numFmtId="0" fontId="12" fillId="0" borderId="1" xfId="3" applyFont="1" applyBorder="1"/>
    <xf numFmtId="3" fontId="12" fillId="0" borderId="1" xfId="3" applyNumberFormat="1" applyFont="1" applyBorder="1"/>
    <xf numFmtId="166" fontId="12" fillId="0" borderId="1" xfId="1" applyNumberFormat="1" applyFont="1" applyFill="1" applyBorder="1"/>
    <xf numFmtId="10" fontId="12" fillId="0" borderId="1" xfId="4" applyNumberFormat="1" applyFont="1" applyFill="1" applyBorder="1"/>
    <xf numFmtId="0" fontId="12" fillId="0" borderId="0" xfId="3" applyFont="1"/>
    <xf numFmtId="0" fontId="5" fillId="0" borderId="1" xfId="3" applyFont="1" applyBorder="1"/>
    <xf numFmtId="3" fontId="5" fillId="0" borderId="1" xfId="3" applyNumberFormat="1" applyFont="1" applyBorder="1"/>
    <xf numFmtId="166" fontId="5" fillId="0" borderId="1" xfId="1" applyNumberFormat="1" applyFont="1" applyFill="1" applyBorder="1"/>
    <xf numFmtId="10" fontId="13" fillId="0" borderId="1" xfId="4" applyNumberFormat="1" applyFont="1" applyFill="1" applyBorder="1"/>
    <xf numFmtId="3" fontId="2" fillId="5" borderId="1" xfId="3" applyNumberFormat="1" applyFont="1" applyFill="1" applyBorder="1"/>
    <xf numFmtId="166" fontId="2" fillId="5" borderId="1" xfId="1" applyNumberFormat="1" applyFont="1" applyFill="1" applyBorder="1"/>
    <xf numFmtId="10" fontId="2" fillId="5" borderId="1" xfId="4" applyNumberFormat="1" applyFont="1" applyFill="1" applyBorder="1"/>
    <xf numFmtId="0" fontId="14" fillId="0" borderId="0" xfId="3" applyFont="1"/>
    <xf numFmtId="0" fontId="6" fillId="3" borderId="0" xfId="3" applyFont="1" applyFill="1"/>
    <xf numFmtId="3" fontId="6" fillId="3" borderId="0" xfId="3" applyNumberFormat="1" applyFont="1" applyFill="1"/>
    <xf numFmtId="166" fontId="6" fillId="3" borderId="0" xfId="1" applyNumberFormat="1" applyFont="1" applyFill="1" applyBorder="1"/>
    <xf numFmtId="10" fontId="6" fillId="3" borderId="0" xfId="4" applyNumberFormat="1" applyFont="1" applyFill="1" applyBorder="1"/>
    <xf numFmtId="0" fontId="2" fillId="6" borderId="1" xfId="3" applyFont="1" applyFill="1" applyBorder="1"/>
    <xf numFmtId="0" fontId="2" fillId="6" borderId="1" xfId="3" applyFont="1" applyFill="1" applyBorder="1" applyAlignment="1">
      <alignment horizontal="center"/>
    </xf>
    <xf numFmtId="10" fontId="10" fillId="6" borderId="1" xfId="4" applyNumberFormat="1" applyFont="1" applyFill="1" applyBorder="1" applyAlignment="1">
      <alignment horizontal="center"/>
    </xf>
    <xf numFmtId="0" fontId="15" fillId="0" borderId="0" xfId="3" applyFont="1"/>
    <xf numFmtId="3" fontId="13" fillId="0" borderId="1" xfId="3" applyNumberFormat="1" applyFont="1" applyBorder="1"/>
    <xf numFmtId="3" fontId="5" fillId="3" borderId="0" xfId="3" applyNumberFormat="1" applyFont="1" applyFill="1"/>
    <xf numFmtId="166" fontId="5" fillId="3" borderId="0" xfId="1" applyNumberFormat="1" applyFont="1" applyFill="1" applyBorder="1"/>
    <xf numFmtId="0" fontId="16" fillId="0" borderId="0" xfId="3" applyFont="1"/>
    <xf numFmtId="165" fontId="2" fillId="5" borderId="1" xfId="1" applyFont="1" applyFill="1" applyBorder="1"/>
    <xf numFmtId="0" fontId="17" fillId="4" borderId="0" xfId="3" applyFont="1" applyFill="1"/>
    <xf numFmtId="10" fontId="6" fillId="4" borderId="0" xfId="4" applyNumberFormat="1" applyFont="1" applyFill="1"/>
    <xf numFmtId="10" fontId="9" fillId="4" borderId="0" xfId="4" applyNumberFormat="1" applyFont="1" applyFill="1"/>
    <xf numFmtId="9" fontId="6" fillId="4" borderId="0" xfId="4" applyFont="1" applyFill="1"/>
    <xf numFmtId="0" fontId="5" fillId="4" borderId="0" xfId="3" applyFont="1" applyFill="1"/>
  </cellXfs>
  <cellStyles count="5">
    <cellStyle name="Comma" xfId="1" builtinId="3"/>
    <cellStyle name="Normal" xfId="0" builtinId="0"/>
    <cellStyle name="Normal 2" xfId="3" xr:uid="{6F3C7B02-8598-44F6-A824-BFF442C236A6}"/>
    <cellStyle name="Percent" xfId="2" builtinId="5"/>
    <cellStyle name="Percent 2" xfId="4" xr:uid="{F6734549-C029-472A-9B99-A1B6B5E1A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126298</xdr:colOff>
      <xdr:row>0</xdr:row>
      <xdr:rowOff>91215</xdr:rowOff>
    </xdr:from>
    <xdr:to>
      <xdr:col>0</xdr:col>
      <xdr:colOff>712089</xdr:colOff>
      <xdr:row>1</xdr:row>
      <xdr:rowOff>355554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FEB1B-D915-48AB-8E0A-F15FAB747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23" y="88040"/>
          <a:ext cx="592141" cy="59771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E_2020%20Annual%20Power%20Statistics_as%20of%2028%20April%202021_FINAL_CLEAN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Summary"/>
      <sheetName val="2. Installed Capacity"/>
      <sheetName val="3. Gross Power Generation"/>
      <sheetName val="Summary"/>
      <sheetName val="4. VisSubgrid Gen"/>
      <sheetName val="5. Gen by owner"/>
      <sheetName val="6. Electricity Consumption"/>
      <sheetName val="7. Peak Demand"/>
      <sheetName val="8. Visayas Subgrid Demand"/>
    </sheetNames>
    <sheetDataSet>
      <sheetData sheetId="0">
        <row r="68">
          <cell r="A68" t="str">
            <v>Updated as of 28 April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375C-B31D-496E-92C6-E6DB46D9B3D6}">
  <sheetPr>
    <tabColor rgb="FFFFC000"/>
  </sheetPr>
  <dimension ref="A1:T63"/>
  <sheetViews>
    <sheetView tabSelected="1" view="pageBreakPreview" zoomScale="93" zoomScaleNormal="85" zoomScaleSheetLayoutView="85" workbookViewId="0">
      <pane xSplit="1" ySplit="7" topLeftCell="B8" activePane="bottomRight" state="frozen"/>
      <selection activeCell="A4" sqref="A4:M4"/>
      <selection pane="topRight" activeCell="A4" sqref="A4:M4"/>
      <selection pane="bottomLeft" activeCell="A4" sqref="A4:M4"/>
      <selection pane="bottomRight" activeCell="K18" sqref="K18"/>
    </sheetView>
  </sheetViews>
  <sheetFormatPr defaultColWidth="9.1796875" defaultRowHeight="14"/>
  <cols>
    <col min="1" max="1" width="24.81640625" style="17" bestFit="1" customWidth="1"/>
    <col min="2" max="7" width="15.453125" style="16" bestFit="1" customWidth="1"/>
    <col min="8" max="11" width="15.453125" style="17" bestFit="1" customWidth="1"/>
    <col min="12" max="14" width="15.453125" style="18" bestFit="1" customWidth="1"/>
    <col min="15" max="16" width="15.453125" style="19" customWidth="1"/>
    <col min="17" max="17" width="17.6328125" style="20" bestFit="1" customWidth="1"/>
    <col min="18" max="19" width="17.1796875" style="20" customWidth="1"/>
    <col min="20" max="20" width="14.81640625" style="21" customWidth="1"/>
    <col min="21" max="16384" width="9.1796875" style="22"/>
  </cols>
  <sheetData>
    <row r="1" spans="1:20" s="2" customFormat="1" ht="26" customHeight="1">
      <c r="A1" s="1" t="s">
        <v>0</v>
      </c>
      <c r="S1" s="3"/>
    </row>
    <row r="2" spans="1:20" s="2" customFormat="1" ht="33" customHeight="1">
      <c r="A2" s="4" t="s">
        <v>1</v>
      </c>
      <c r="S2" s="3"/>
    </row>
    <row r="3" spans="1:20" s="5" customFormat="1" ht="17" customHeight="1">
      <c r="M3" s="6"/>
      <c r="N3" s="6"/>
      <c r="O3" s="7"/>
      <c r="P3" s="7"/>
      <c r="Q3" s="8"/>
      <c r="R3" s="8"/>
      <c r="S3" s="8"/>
      <c r="T3" s="9"/>
    </row>
    <row r="4" spans="1:20" s="14" customFormat="1" ht="17" customHeigh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0"/>
      <c r="N4" s="10"/>
      <c r="O4" s="11"/>
      <c r="P4" s="11"/>
      <c r="Q4" s="12"/>
      <c r="R4" s="12"/>
      <c r="S4" s="12"/>
      <c r="T4" s="13"/>
    </row>
    <row r="5" spans="1:20">
      <c r="A5" s="15" t="s">
        <v>3</v>
      </c>
    </row>
    <row r="6" spans="1:20">
      <c r="A6" s="15"/>
    </row>
    <row r="7" spans="1:20" s="26" customFormat="1" ht="15.5">
      <c r="A7" s="23" t="s">
        <v>4</v>
      </c>
      <c r="B7" s="24">
        <v>2003</v>
      </c>
      <c r="C7" s="24">
        <v>2004</v>
      </c>
      <c r="D7" s="24">
        <f t="shared" ref="D7:M7" si="0">C7+1</f>
        <v>2005</v>
      </c>
      <c r="E7" s="24">
        <f t="shared" si="0"/>
        <v>2006</v>
      </c>
      <c r="F7" s="24">
        <f t="shared" si="0"/>
        <v>2007</v>
      </c>
      <c r="G7" s="24">
        <f t="shared" si="0"/>
        <v>2008</v>
      </c>
      <c r="H7" s="24">
        <f t="shared" si="0"/>
        <v>2009</v>
      </c>
      <c r="I7" s="24">
        <f t="shared" si="0"/>
        <v>2010</v>
      </c>
      <c r="J7" s="24">
        <f t="shared" si="0"/>
        <v>2011</v>
      </c>
      <c r="K7" s="24">
        <f t="shared" si="0"/>
        <v>2012</v>
      </c>
      <c r="L7" s="24">
        <f t="shared" si="0"/>
        <v>2013</v>
      </c>
      <c r="M7" s="24">
        <f t="shared" si="0"/>
        <v>2014</v>
      </c>
      <c r="N7" s="24">
        <f>M7+1</f>
        <v>2015</v>
      </c>
      <c r="O7" s="24">
        <f>N7+1</f>
        <v>2016</v>
      </c>
      <c r="P7" s="24">
        <v>2017</v>
      </c>
      <c r="Q7" s="24">
        <v>2018</v>
      </c>
      <c r="R7" s="24">
        <v>2019</v>
      </c>
      <c r="S7" s="24">
        <v>2020</v>
      </c>
      <c r="T7" s="25" t="s">
        <v>5</v>
      </c>
    </row>
    <row r="8" spans="1:20" s="31" customFormat="1" ht="14.5">
      <c r="A8" s="27" t="s">
        <v>6</v>
      </c>
      <c r="B8" s="28">
        <f>11795.91965*1000</f>
        <v>11795919.65</v>
      </c>
      <c r="C8" s="28">
        <v>12114757.362600118</v>
      </c>
      <c r="D8" s="28">
        <v>12037503.472925365</v>
      </c>
      <c r="E8" s="28">
        <v>11801708.985680727</v>
      </c>
      <c r="F8" s="28">
        <v>12129244.961589359</v>
      </c>
      <c r="G8" s="28">
        <v>12235803.238092154</v>
      </c>
      <c r="H8" s="28">
        <v>12801337.239711523</v>
      </c>
      <c r="I8" s="28">
        <v>13865104.540216584</v>
      </c>
      <c r="J8" s="28">
        <v>13558193.859558934</v>
      </c>
      <c r="K8" s="28">
        <v>14262257.400053306</v>
      </c>
      <c r="L8" s="28">
        <v>15055560.815552946</v>
      </c>
      <c r="M8" s="28">
        <v>15304066.645739023</v>
      </c>
      <c r="N8" s="28">
        <v>16527746.660607258</v>
      </c>
      <c r="O8" s="28">
        <v>18650032.46587516</v>
      </c>
      <c r="P8" s="28">
        <v>19626456.563472796</v>
      </c>
      <c r="Q8" s="29">
        <v>20557265.146706499</v>
      </c>
      <c r="R8" s="29">
        <v>22207227.900959715</v>
      </c>
      <c r="S8" s="29">
        <v>24992519.760006666</v>
      </c>
      <c r="T8" s="30">
        <f>S8/S$15</f>
        <v>0.34001369751095895</v>
      </c>
    </row>
    <row r="9" spans="1:20" s="31" customFormat="1" ht="14.5">
      <c r="A9" s="27" t="s">
        <v>7</v>
      </c>
      <c r="B9" s="28">
        <f>9649.02171*1000</f>
        <v>9649021.7100000009</v>
      </c>
      <c r="C9" s="28">
        <v>10138136.990665531</v>
      </c>
      <c r="D9" s="28">
        <v>10495059.66429933</v>
      </c>
      <c r="E9" s="28">
        <v>10865084.481540004</v>
      </c>
      <c r="F9" s="28">
        <v>11503251.314358946</v>
      </c>
      <c r="G9" s="28">
        <v>12065744.418020671</v>
      </c>
      <c r="H9" s="28">
        <v>12519045.766709032</v>
      </c>
      <c r="I9" s="28">
        <v>13684231.365864219</v>
      </c>
      <c r="J9" s="28">
        <v>13975287.026954364</v>
      </c>
      <c r="K9" s="28">
        <v>14905457.920181099</v>
      </c>
      <c r="L9" s="28">
        <v>15509868.549430851</v>
      </c>
      <c r="M9" s="28">
        <v>16102598.881042695</v>
      </c>
      <c r="N9" s="28">
        <v>17272475.465905469</v>
      </c>
      <c r="O9" s="28">
        <v>18726890.330552258</v>
      </c>
      <c r="P9" s="28">
        <v>19600603.877277419</v>
      </c>
      <c r="Q9" s="29">
        <v>20691045.366305735</v>
      </c>
      <c r="R9" s="29">
        <v>21911665.507753678</v>
      </c>
      <c r="S9" s="29">
        <v>17787676.322466634</v>
      </c>
      <c r="T9" s="30">
        <f t="shared" ref="T9:T15" si="1">S9/S$15</f>
        <v>0.24199455095392924</v>
      </c>
    </row>
    <row r="10" spans="1:20" s="31" customFormat="1" ht="14.5">
      <c r="A10" s="27" t="s">
        <v>8</v>
      </c>
      <c r="B10" s="28">
        <f>(10476.64246*1000)-200</f>
        <v>10476442.459999999</v>
      </c>
      <c r="C10" s="28">
        <v>10148988.498811016</v>
      </c>
      <c r="D10" s="28">
        <v>10669917.473942246</v>
      </c>
      <c r="E10" s="28">
        <v>10562721.535200834</v>
      </c>
      <c r="F10" s="28">
        <v>11033945.62538743</v>
      </c>
      <c r="G10" s="28">
        <v>11522202.175730735</v>
      </c>
      <c r="H10" s="28">
        <v>11745017.363247147</v>
      </c>
      <c r="I10" s="28">
        <v>13030041.855499197</v>
      </c>
      <c r="J10" s="28">
        <v>13393635.758477412</v>
      </c>
      <c r="K10" s="28">
        <v>14085532.426364165</v>
      </c>
      <c r="L10" s="28">
        <v>14378823.533230014</v>
      </c>
      <c r="M10" s="28">
        <v>14939120.976635939</v>
      </c>
      <c r="N10" s="28">
        <v>15875874.845927078</v>
      </c>
      <c r="O10" s="28">
        <v>17094048.488083623</v>
      </c>
      <c r="P10" s="28">
        <v>18028994.130299389</v>
      </c>
      <c r="Q10" s="29">
        <v>19352877.189098194</v>
      </c>
      <c r="R10" s="29">
        <v>19443904.005592573</v>
      </c>
      <c r="S10" s="29">
        <v>17161923.426674455</v>
      </c>
      <c r="T10" s="30">
        <f t="shared" si="1"/>
        <v>0.23348142151081655</v>
      </c>
    </row>
    <row r="11" spans="1:20" s="31" customFormat="1" ht="14.5">
      <c r="A11" s="27" t="s">
        <v>9</v>
      </c>
      <c r="B11" s="28">
        <f>(547*1000)+72.48386</f>
        <v>547072.48386000004</v>
      </c>
      <c r="C11" s="28">
        <v>622797.43095462967</v>
      </c>
      <c r="D11" s="28">
        <v>588557.49554068246</v>
      </c>
      <c r="E11" s="28">
        <v>711882.94279770809</v>
      </c>
      <c r="F11" s="28">
        <v>768443.10122398299</v>
      </c>
      <c r="G11" s="28">
        <v>791669.21616195689</v>
      </c>
      <c r="H11" s="28">
        <v>794033.15893925517</v>
      </c>
      <c r="I11" s="28">
        <v>809416.60330623004</v>
      </c>
      <c r="J11" s="28">
        <v>779129.14896885201</v>
      </c>
      <c r="K11" s="28">
        <v>810428.83081939607</v>
      </c>
      <c r="L11" s="28">
        <v>858922.33321430825</v>
      </c>
      <c r="M11" s="28">
        <v>894718.63146576984</v>
      </c>
      <c r="N11" s="28">
        <v>913225.95959971286</v>
      </c>
      <c r="O11" s="28">
        <v>942177.73254105833</v>
      </c>
      <c r="P11" s="28">
        <v>991390.36603394314</v>
      </c>
      <c r="Q11" s="29">
        <v>940124.23227774398</v>
      </c>
      <c r="R11" s="29">
        <v>1228832.5481886812</v>
      </c>
      <c r="S11" s="29">
        <v>1170022.3583547315</v>
      </c>
      <c r="T11" s="30">
        <f t="shared" si="1"/>
        <v>1.5917707860384957E-2</v>
      </c>
    </row>
    <row r="12" spans="1:20" s="14" customFormat="1">
      <c r="A12" s="32" t="s">
        <v>10</v>
      </c>
      <c r="B12" s="33">
        <f t="shared" ref="B12:N12" si="2">SUM(B8:B11)</f>
        <v>32468456.303860001</v>
      </c>
      <c r="C12" s="33">
        <f t="shared" si="2"/>
        <v>33024680.283031296</v>
      </c>
      <c r="D12" s="33">
        <f t="shared" si="2"/>
        <v>33791038.106707625</v>
      </c>
      <c r="E12" s="33">
        <f t="shared" si="2"/>
        <v>33941397.945219271</v>
      </c>
      <c r="F12" s="33">
        <f t="shared" si="2"/>
        <v>35434885.002559714</v>
      </c>
      <c r="G12" s="33">
        <f t="shared" si="2"/>
        <v>36615419.048005521</v>
      </c>
      <c r="H12" s="33">
        <f t="shared" si="2"/>
        <v>37859433.528606959</v>
      </c>
      <c r="I12" s="33">
        <f t="shared" si="2"/>
        <v>41388794.364886232</v>
      </c>
      <c r="J12" s="33">
        <f t="shared" si="2"/>
        <v>41706245.793959565</v>
      </c>
      <c r="K12" s="33">
        <f t="shared" si="2"/>
        <v>44063676.57741797</v>
      </c>
      <c r="L12" s="33">
        <f t="shared" si="2"/>
        <v>45803175.231428117</v>
      </c>
      <c r="M12" s="33">
        <f t="shared" si="2"/>
        <v>47240505.134883426</v>
      </c>
      <c r="N12" s="33">
        <f t="shared" si="2"/>
        <v>50589322.932039522</v>
      </c>
      <c r="O12" s="33">
        <f>SUM(O8:O11)</f>
        <v>55413149.017052099</v>
      </c>
      <c r="P12" s="33">
        <f>SUM(P8:P11)</f>
        <v>58247444.937083542</v>
      </c>
      <c r="Q12" s="34">
        <f>SUM(Q8:Q11)</f>
        <v>61541311.934388168</v>
      </c>
      <c r="R12" s="34">
        <f>SUM(R8:R11)</f>
        <v>64791629.962494649</v>
      </c>
      <c r="S12" s="34">
        <f>SUM(S8:S11)</f>
        <v>61112141.867502488</v>
      </c>
      <c r="T12" s="35">
        <f t="shared" si="1"/>
        <v>0.83140737783608976</v>
      </c>
    </row>
    <row r="13" spans="1:20" s="14" customFormat="1">
      <c r="A13" s="32" t="s">
        <v>11</v>
      </c>
      <c r="B13" s="33">
        <f>2825.77533910593*1000</f>
        <v>2825775.3391059302</v>
      </c>
      <c r="C13" s="33">
        <v>3856056.6589526716</v>
      </c>
      <c r="D13" s="33">
        <v>3738404.8836514354</v>
      </c>
      <c r="E13" s="33">
        <v>3443788.8002626868</v>
      </c>
      <c r="F13" s="33">
        <v>3140721.3925871053</v>
      </c>
      <c r="G13" s="33">
        <v>3069218.4975924883</v>
      </c>
      <c r="H13" s="33">
        <v>2666261.6106125209</v>
      </c>
      <c r="I13" s="33">
        <v>3729374.536700944</v>
      </c>
      <c r="J13" s="33">
        <v>4113774.7817884856</v>
      </c>
      <c r="K13" s="33">
        <v>3952498.3002901711</v>
      </c>
      <c r="L13" s="33">
        <v>4549542.7482225094</v>
      </c>
      <c r="M13" s="33">
        <v>5040459.4928331822</v>
      </c>
      <c r="N13" s="33">
        <v>5598129.8227954181</v>
      </c>
      <c r="O13" s="33">
        <v>6517613.2090442041</v>
      </c>
      <c r="P13" s="33">
        <v>5940166.591970793</v>
      </c>
      <c r="Q13" s="34">
        <v>5668573.2972259084</v>
      </c>
      <c r="R13" s="34">
        <v>6173459.5150409676</v>
      </c>
      <c r="S13" s="34">
        <v>5753870.9107120018</v>
      </c>
      <c r="T13" s="35">
        <f t="shared" si="1"/>
        <v>7.8279218827810373E-2</v>
      </c>
    </row>
    <row r="14" spans="1:20" s="14" customFormat="1">
      <c r="A14" s="32" t="s">
        <v>12</v>
      </c>
      <c r="B14" s="33">
        <f>5190.78177507674*1000</f>
        <v>5190781.7750767395</v>
      </c>
      <c r="C14" s="33">
        <v>5508906.812527135</v>
      </c>
      <c r="D14" s="33">
        <v>5033286.6117863907</v>
      </c>
      <c r="E14" s="33">
        <v>5039234.5900680376</v>
      </c>
      <c r="F14" s="33">
        <v>5764134.7328531826</v>
      </c>
      <c r="G14" s="33">
        <v>5632154.3136252537</v>
      </c>
      <c r="H14" s="33">
        <v>5109529.7150532762</v>
      </c>
      <c r="I14" s="33">
        <v>5203908.0212632343</v>
      </c>
      <c r="J14" s="33">
        <v>5144667.6690275976</v>
      </c>
      <c r="K14" s="33">
        <v>5706961.2591275144</v>
      </c>
      <c r="L14" s="33">
        <v>5383066.6753204586</v>
      </c>
      <c r="M14" s="33">
        <v>5207774.1972710788</v>
      </c>
      <c r="N14" s="33">
        <v>4911892.00736186</v>
      </c>
      <c r="O14" s="33">
        <v>5289833.3333441541</v>
      </c>
      <c r="P14" s="33">
        <v>5436991.2180990353</v>
      </c>
      <c r="Q14" s="34">
        <v>6293025.4908462493</v>
      </c>
      <c r="R14" s="34">
        <v>6721866.034017344</v>
      </c>
      <c r="S14" s="34">
        <v>6638437.0329842484</v>
      </c>
      <c r="T14" s="35">
        <f t="shared" si="1"/>
        <v>9.03134034884545E-2</v>
      </c>
    </row>
    <row r="15" spans="1:20" s="39" customFormat="1" ht="15.5">
      <c r="A15" s="23" t="s">
        <v>13</v>
      </c>
      <c r="B15" s="36">
        <f t="shared" ref="B15:P15" si="3">SUM(B12:B14)</f>
        <v>40485013.418042667</v>
      </c>
      <c r="C15" s="36">
        <f t="shared" si="3"/>
        <v>42389643.754511103</v>
      </c>
      <c r="D15" s="36">
        <f t="shared" si="3"/>
        <v>42562729.602145448</v>
      </c>
      <c r="E15" s="36">
        <f t="shared" si="3"/>
        <v>42424421.335549995</v>
      </c>
      <c r="F15" s="36">
        <f t="shared" si="3"/>
        <v>44339741.127999999</v>
      </c>
      <c r="G15" s="36">
        <f t="shared" si="3"/>
        <v>45316791.859223261</v>
      </c>
      <c r="H15" s="36">
        <f t="shared" si="3"/>
        <v>45635224.854272753</v>
      </c>
      <c r="I15" s="36">
        <f t="shared" si="3"/>
        <v>50322076.922850408</v>
      </c>
      <c r="J15" s="36">
        <f t="shared" si="3"/>
        <v>50964688.244775645</v>
      </c>
      <c r="K15" s="36">
        <f t="shared" si="3"/>
        <v>53723136.13683565</v>
      </c>
      <c r="L15" s="36">
        <f t="shared" si="3"/>
        <v>55735784.654971085</v>
      </c>
      <c r="M15" s="36">
        <f t="shared" si="3"/>
        <v>57488738.824987687</v>
      </c>
      <c r="N15" s="36">
        <f t="shared" si="3"/>
        <v>61099344.762196802</v>
      </c>
      <c r="O15" s="36">
        <f t="shared" si="3"/>
        <v>67220595.559440464</v>
      </c>
      <c r="P15" s="36">
        <f t="shared" si="3"/>
        <v>69624602.747153372</v>
      </c>
      <c r="Q15" s="37">
        <f>ROUND(SUM(Q12:Q14),1)</f>
        <v>73502910.700000003</v>
      </c>
      <c r="R15" s="37">
        <f>ROUND(SUM(R12:R14),1)</f>
        <v>77686955.5</v>
      </c>
      <c r="S15" s="37">
        <f>ROUND(SUM(S12:S14),1)</f>
        <v>73504449.799999997</v>
      </c>
      <c r="T15" s="38">
        <f t="shared" si="1"/>
        <v>1</v>
      </c>
    </row>
    <row r="16" spans="1:20" s="40" customFormat="1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42"/>
      <c r="S16" s="42"/>
      <c r="T16" s="43"/>
    </row>
    <row r="17" spans="1:20" s="47" customFormat="1" ht="15.5">
      <c r="A17" s="44" t="s">
        <v>14</v>
      </c>
      <c r="B17" s="45">
        <v>2003</v>
      </c>
      <c r="C17" s="45">
        <v>2004</v>
      </c>
      <c r="D17" s="45">
        <f t="shared" ref="D17:M17" si="4">C17+1</f>
        <v>2005</v>
      </c>
      <c r="E17" s="45">
        <f t="shared" si="4"/>
        <v>2006</v>
      </c>
      <c r="F17" s="45">
        <f t="shared" si="4"/>
        <v>2007</v>
      </c>
      <c r="G17" s="45">
        <f t="shared" si="4"/>
        <v>2008</v>
      </c>
      <c r="H17" s="45">
        <f t="shared" si="4"/>
        <v>2009</v>
      </c>
      <c r="I17" s="45">
        <f t="shared" si="4"/>
        <v>2010</v>
      </c>
      <c r="J17" s="45">
        <f t="shared" si="4"/>
        <v>2011</v>
      </c>
      <c r="K17" s="45">
        <f t="shared" si="4"/>
        <v>2012</v>
      </c>
      <c r="L17" s="45">
        <f t="shared" si="4"/>
        <v>2013</v>
      </c>
      <c r="M17" s="45">
        <f t="shared" si="4"/>
        <v>2014</v>
      </c>
      <c r="N17" s="45">
        <f>M17+1</f>
        <v>2015</v>
      </c>
      <c r="O17" s="24">
        <f>N17+1</f>
        <v>2016</v>
      </c>
      <c r="P17" s="24">
        <v>2017</v>
      </c>
      <c r="Q17" s="24">
        <v>2018</v>
      </c>
      <c r="R17" s="24">
        <v>2019</v>
      </c>
      <c r="S17" s="24">
        <v>2020</v>
      </c>
      <c r="T17" s="46" t="str">
        <f>T7</f>
        <v>% Share - 2020</v>
      </c>
    </row>
    <row r="18" spans="1:20" s="31" customFormat="1" ht="14.5">
      <c r="A18" s="27" t="s">
        <v>6</v>
      </c>
      <c r="B18" s="28">
        <f>1784.95938*1000</f>
        <v>1784959.3800000001</v>
      </c>
      <c r="C18" s="28">
        <v>1872853.8073999998</v>
      </c>
      <c r="D18" s="28">
        <v>1999023.18258</v>
      </c>
      <c r="E18" s="28">
        <v>2036357.392733613</v>
      </c>
      <c r="F18" s="28">
        <v>2157466.791485663</v>
      </c>
      <c r="G18" s="28">
        <v>2208276.7348443535</v>
      </c>
      <c r="H18" s="28">
        <v>2340751.7131887372</v>
      </c>
      <c r="I18" s="28">
        <v>2523334.2735212045</v>
      </c>
      <c r="J18" s="28">
        <v>2526694.4749880554</v>
      </c>
      <c r="K18" s="28">
        <v>2668062.4457754814</v>
      </c>
      <c r="L18" s="28">
        <v>2735202.5227079652</v>
      </c>
      <c r="M18" s="28">
        <v>2770126.0773764406</v>
      </c>
      <c r="N18" s="28">
        <v>3068120.1193452841</v>
      </c>
      <c r="O18" s="28">
        <v>3508238.2510972819</v>
      </c>
      <c r="P18" s="28">
        <v>3614831.2909587333</v>
      </c>
      <c r="Q18" s="29">
        <v>3863595.415833632</v>
      </c>
      <c r="R18" s="29">
        <v>4198056.8869264973</v>
      </c>
      <c r="S18" s="29">
        <v>4629883.2595252292</v>
      </c>
      <c r="T18" s="30">
        <f>S18/S$25</f>
        <v>0.32153750943343862</v>
      </c>
    </row>
    <row r="19" spans="1:20" s="31" customFormat="1" ht="14.5">
      <c r="A19" s="27" t="s">
        <v>7</v>
      </c>
      <c r="B19" s="28">
        <f>665.61364*1000</f>
        <v>665613.64</v>
      </c>
      <c r="C19" s="28">
        <v>783096.27010000008</v>
      </c>
      <c r="D19" s="28">
        <v>861239.83416999993</v>
      </c>
      <c r="E19" s="28">
        <v>910004.80282728479</v>
      </c>
      <c r="F19" s="28">
        <v>1002668.8305257818</v>
      </c>
      <c r="G19" s="28">
        <v>1043842.2023952618</v>
      </c>
      <c r="H19" s="28">
        <v>1094152.2982428956</v>
      </c>
      <c r="I19" s="28">
        <v>1311512.5669170348</v>
      </c>
      <c r="J19" s="28">
        <v>1324239.5616184191</v>
      </c>
      <c r="K19" s="28">
        <v>1425684.2637895339</v>
      </c>
      <c r="L19" s="28">
        <v>1446027.6225126344</v>
      </c>
      <c r="M19" s="28">
        <v>1301551.087248734</v>
      </c>
      <c r="N19" s="28">
        <v>1418320.6764477396</v>
      </c>
      <c r="O19" s="28">
        <v>1554844.5941367333</v>
      </c>
      <c r="P19" s="28">
        <v>1642461.9669884071</v>
      </c>
      <c r="Q19" s="29">
        <v>1704677.2723762365</v>
      </c>
      <c r="R19" s="29">
        <v>1887003.4403293068</v>
      </c>
      <c r="S19" s="29">
        <v>1459398.5888721533</v>
      </c>
      <c r="T19" s="30">
        <f t="shared" ref="T19:T25" si="5">S19/S$25</f>
        <v>0.10135274719318653</v>
      </c>
    </row>
    <row r="20" spans="1:20" s="31" customFormat="1" ht="14.5">
      <c r="A20" s="27" t="s">
        <v>8</v>
      </c>
      <c r="B20" s="28">
        <f>2022.24082*1000</f>
        <v>2022240.82</v>
      </c>
      <c r="C20" s="28">
        <v>1999038.9893014287</v>
      </c>
      <c r="D20" s="28">
        <v>2104109.670473</v>
      </c>
      <c r="E20" s="28">
        <v>2340239.0300778258</v>
      </c>
      <c r="F20" s="28">
        <v>2402248.2912175111</v>
      </c>
      <c r="G20" s="28">
        <v>2416489.4985967446</v>
      </c>
      <c r="H20" s="28">
        <v>2561554.92749146</v>
      </c>
      <c r="I20" s="28">
        <v>2770270.6419726792</v>
      </c>
      <c r="J20" s="28">
        <v>3037863.3693306204</v>
      </c>
      <c r="K20" s="28">
        <v>3031684.3985786201</v>
      </c>
      <c r="L20" s="28">
        <v>3136621.9336265977</v>
      </c>
      <c r="M20" s="28">
        <v>3214078.6890477259</v>
      </c>
      <c r="N20" s="28">
        <v>3268068.0886700391</v>
      </c>
      <c r="O20" s="28">
        <v>3470389.8827023385</v>
      </c>
      <c r="P20" s="28">
        <v>3589521.0525058582</v>
      </c>
      <c r="Q20" s="29">
        <v>3978019.9396158168</v>
      </c>
      <c r="R20" s="29">
        <v>4382005.3455538657</v>
      </c>
      <c r="S20" s="29">
        <v>4335541.3485667193</v>
      </c>
      <c r="T20" s="30">
        <f t="shared" si="5"/>
        <v>0.30109596487035101</v>
      </c>
    </row>
    <row r="21" spans="1:20" s="31" customFormat="1" ht="14.5">
      <c r="A21" s="27" t="s">
        <v>9</v>
      </c>
      <c r="B21" s="28">
        <f>245*1000</f>
        <v>245000</v>
      </c>
      <c r="C21" s="28">
        <v>376787.40564999997</v>
      </c>
      <c r="D21" s="28">
        <v>319986.25648999994</v>
      </c>
      <c r="E21" s="28">
        <v>264806.94319454115</v>
      </c>
      <c r="F21" s="28">
        <v>454767.42600137409</v>
      </c>
      <c r="G21" s="28">
        <v>292584.75716507208</v>
      </c>
      <c r="H21" s="28">
        <v>312653.82997710322</v>
      </c>
      <c r="I21" s="28">
        <v>430941.16244239249</v>
      </c>
      <c r="J21" s="28">
        <v>335571.41799076751</v>
      </c>
      <c r="K21" s="28">
        <v>521269.6026469327</v>
      </c>
      <c r="L21" s="28">
        <v>549764.64334457985</v>
      </c>
      <c r="M21" s="28">
        <v>753264.55279840692</v>
      </c>
      <c r="N21" s="28">
        <v>1010738.132632719</v>
      </c>
      <c r="O21" s="28">
        <v>1065377.8819924837</v>
      </c>
      <c r="P21" s="28">
        <v>1201960.4522802623</v>
      </c>
      <c r="Q21" s="29">
        <v>1285120.3120720517</v>
      </c>
      <c r="R21" s="29">
        <v>1072095.2664254648</v>
      </c>
      <c r="S21" s="29">
        <v>915274.08544100239</v>
      </c>
      <c r="T21" s="30">
        <f t="shared" si="5"/>
        <v>6.3564226868183846E-2</v>
      </c>
    </row>
    <row r="22" spans="1:20" s="14" customFormat="1">
      <c r="A22" s="32" t="s">
        <v>10</v>
      </c>
      <c r="B22" s="33">
        <f t="shared" ref="B22:N22" si="6">SUM(B18:B21)</f>
        <v>4717813.84</v>
      </c>
      <c r="C22" s="33">
        <f t="shared" si="6"/>
        <v>5031776.4724514289</v>
      </c>
      <c r="D22" s="33">
        <f t="shared" si="6"/>
        <v>5284358.943713</v>
      </c>
      <c r="E22" s="33">
        <f t="shared" si="6"/>
        <v>5551408.1688332641</v>
      </c>
      <c r="F22" s="33">
        <f t="shared" si="6"/>
        <v>6017151.3392303297</v>
      </c>
      <c r="G22" s="33">
        <f t="shared" si="6"/>
        <v>5961193.1930014323</v>
      </c>
      <c r="H22" s="33">
        <f t="shared" si="6"/>
        <v>6309112.7689001961</v>
      </c>
      <c r="I22" s="33">
        <f t="shared" si="6"/>
        <v>7036058.6448533116</v>
      </c>
      <c r="J22" s="33">
        <f t="shared" si="6"/>
        <v>7224368.8239278626</v>
      </c>
      <c r="K22" s="33">
        <f t="shared" si="6"/>
        <v>7646700.710790568</v>
      </c>
      <c r="L22" s="33">
        <f t="shared" si="6"/>
        <v>7867616.722191778</v>
      </c>
      <c r="M22" s="33">
        <f t="shared" si="6"/>
        <v>8039020.4064713074</v>
      </c>
      <c r="N22" s="33">
        <f t="shared" si="6"/>
        <v>8765247.0170957819</v>
      </c>
      <c r="O22" s="33">
        <f>SUM(O18:O21)</f>
        <v>9598850.609928837</v>
      </c>
      <c r="P22" s="33">
        <f>SUM(P18:P21)</f>
        <v>10048774.76273326</v>
      </c>
      <c r="Q22" s="33">
        <f>SUM(Q18:Q21)</f>
        <v>10831412.939897737</v>
      </c>
      <c r="R22" s="33">
        <f>SUM(R18:R21)</f>
        <v>11539160.939235134</v>
      </c>
      <c r="S22" s="33">
        <f>SUM(S18:S21)</f>
        <v>11340097.282405104</v>
      </c>
      <c r="T22" s="35">
        <f t="shared" si="5"/>
        <v>0.78755044836515997</v>
      </c>
    </row>
    <row r="23" spans="1:20" s="14" customFormat="1">
      <c r="A23" s="32" t="s">
        <v>11</v>
      </c>
      <c r="B23" s="33">
        <f>484.48050097571*1000</f>
        <v>484480.50097570999</v>
      </c>
      <c r="C23" s="33">
        <v>661113.42323360499</v>
      </c>
      <c r="D23" s="33">
        <v>679446.3801236992</v>
      </c>
      <c r="E23" s="33">
        <v>606005.65109445807</v>
      </c>
      <c r="F23" s="33">
        <v>574112.55272153823</v>
      </c>
      <c r="G23" s="33">
        <v>588755.29258463415</v>
      </c>
      <c r="H23" s="33">
        <v>564886.67715165461</v>
      </c>
      <c r="I23" s="33">
        <v>665184.20845300448</v>
      </c>
      <c r="J23" s="33">
        <v>996145.86776102055</v>
      </c>
      <c r="K23" s="33">
        <v>1092227.3188536246</v>
      </c>
      <c r="L23" s="33">
        <v>1055265.3223769399</v>
      </c>
      <c r="M23" s="33">
        <v>1049087.4506589253</v>
      </c>
      <c r="N23" s="33">
        <v>1130875.9452242893</v>
      </c>
      <c r="O23" s="48">
        <v>1188570.1215543235</v>
      </c>
      <c r="P23" s="48">
        <v>1515721.3504163474</v>
      </c>
      <c r="Q23" s="34">
        <v>1485306.0226202542</v>
      </c>
      <c r="R23" s="34">
        <v>1670124.0141633928</v>
      </c>
      <c r="S23" s="34">
        <v>1703095.7778492984</v>
      </c>
      <c r="T23" s="35">
        <f t="shared" si="5"/>
        <v>0.11827710204348063</v>
      </c>
    </row>
    <row r="24" spans="1:20" s="14" customFormat="1">
      <c r="A24" s="32" t="s">
        <v>12</v>
      </c>
      <c r="B24" s="33">
        <f>742.299413661567*1000</f>
        <v>742299.41366156703</v>
      </c>
      <c r="C24" s="33">
        <v>787805.69692639506</v>
      </c>
      <c r="D24" s="33">
        <v>798546.6761633011</v>
      </c>
      <c r="E24" s="33">
        <v>788345.38144227653</v>
      </c>
      <c r="F24" s="33">
        <v>790499.46273877018</v>
      </c>
      <c r="G24" s="33">
        <v>982488.52775853791</v>
      </c>
      <c r="H24" s="33">
        <v>1189929.5039797442</v>
      </c>
      <c r="I24" s="33">
        <v>1316669.9878692972</v>
      </c>
      <c r="J24" s="33">
        <v>1287798.9079016182</v>
      </c>
      <c r="K24" s="33">
        <v>1333075.4089158082</v>
      </c>
      <c r="L24" s="33">
        <v>1260443.8549742831</v>
      </c>
      <c r="M24" s="33">
        <v>1203558.7477667676</v>
      </c>
      <c r="N24" s="33">
        <v>1287878.8293563193</v>
      </c>
      <c r="O24" s="48">
        <v>1444418.313501328</v>
      </c>
      <c r="P24" s="48">
        <v>1377205.2437894375</v>
      </c>
      <c r="Q24" s="34">
        <v>1175227.7305820088</v>
      </c>
      <c r="R24" s="34">
        <v>1340055.974000812</v>
      </c>
      <c r="S24" s="34">
        <v>1356008.002935597</v>
      </c>
      <c r="T24" s="35">
        <f t="shared" si="5"/>
        <v>9.4172447034967591E-2</v>
      </c>
    </row>
    <row r="25" spans="1:20" s="39" customFormat="1" ht="15.5">
      <c r="A25" s="23" t="s">
        <v>13</v>
      </c>
      <c r="B25" s="36">
        <f t="shared" ref="B25:P25" si="7">SUM(B22:B24)</f>
        <v>5944593.7546372768</v>
      </c>
      <c r="C25" s="36">
        <f t="shared" si="7"/>
        <v>6480695.5926114293</v>
      </c>
      <c r="D25" s="36">
        <f t="shared" si="7"/>
        <v>6762352</v>
      </c>
      <c r="E25" s="36">
        <f t="shared" si="7"/>
        <v>6945759.201369999</v>
      </c>
      <c r="F25" s="36">
        <f t="shared" si="7"/>
        <v>7381763.3546906384</v>
      </c>
      <c r="G25" s="36">
        <f t="shared" si="7"/>
        <v>7532437.0133446045</v>
      </c>
      <c r="H25" s="36">
        <f t="shared" si="7"/>
        <v>8063928.9500315953</v>
      </c>
      <c r="I25" s="36">
        <f t="shared" si="7"/>
        <v>9017912.8411756121</v>
      </c>
      <c r="J25" s="36">
        <f t="shared" si="7"/>
        <v>9508313.5995905008</v>
      </c>
      <c r="K25" s="36">
        <f t="shared" si="7"/>
        <v>10072003.438560002</v>
      </c>
      <c r="L25" s="36">
        <f t="shared" si="7"/>
        <v>10183325.899543</v>
      </c>
      <c r="M25" s="36">
        <f t="shared" si="7"/>
        <v>10291666.604897</v>
      </c>
      <c r="N25" s="36">
        <f t="shared" si="7"/>
        <v>11184001.791676391</v>
      </c>
      <c r="O25" s="36">
        <f t="shared" si="7"/>
        <v>12231839.04498449</v>
      </c>
      <c r="P25" s="36">
        <f t="shared" si="7"/>
        <v>12941701.356939046</v>
      </c>
      <c r="Q25" s="37">
        <f>ROUND(SUM(Q22:Q24),1)</f>
        <v>13491946.699999999</v>
      </c>
      <c r="R25" s="37">
        <f>ROUND(SUM(R22:R24),1)</f>
        <v>14549340.9</v>
      </c>
      <c r="S25" s="37">
        <f>ROUND(SUM(S22:S24),1)</f>
        <v>14399201.1</v>
      </c>
      <c r="T25" s="38">
        <f t="shared" si="5"/>
        <v>1</v>
      </c>
    </row>
    <row r="26" spans="1:20" s="40" customForma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9"/>
      <c r="P26" s="49"/>
      <c r="Q26" s="50"/>
      <c r="R26" s="50"/>
      <c r="S26" s="50"/>
      <c r="T26" s="43"/>
    </row>
    <row r="27" spans="1:20" s="51" customFormat="1" ht="15.5">
      <c r="A27" s="44" t="s">
        <v>15</v>
      </c>
      <c r="B27" s="45">
        <v>2003</v>
      </c>
      <c r="C27" s="45">
        <v>2004</v>
      </c>
      <c r="D27" s="45">
        <f t="shared" ref="D27:M27" si="8">C27+1</f>
        <v>2005</v>
      </c>
      <c r="E27" s="45">
        <f t="shared" si="8"/>
        <v>2006</v>
      </c>
      <c r="F27" s="45">
        <f t="shared" si="8"/>
        <v>2007</v>
      </c>
      <c r="G27" s="45">
        <f t="shared" si="8"/>
        <v>2008</v>
      </c>
      <c r="H27" s="45">
        <f t="shared" si="8"/>
        <v>2009</v>
      </c>
      <c r="I27" s="45">
        <f t="shared" si="8"/>
        <v>2010</v>
      </c>
      <c r="J27" s="45">
        <f t="shared" si="8"/>
        <v>2011</v>
      </c>
      <c r="K27" s="45">
        <f t="shared" si="8"/>
        <v>2012</v>
      </c>
      <c r="L27" s="45">
        <f t="shared" si="8"/>
        <v>2013</v>
      </c>
      <c r="M27" s="45">
        <f t="shared" si="8"/>
        <v>2014</v>
      </c>
      <c r="N27" s="45">
        <f>M27+1</f>
        <v>2015</v>
      </c>
      <c r="O27" s="24">
        <f>N27+1</f>
        <v>2016</v>
      </c>
      <c r="P27" s="24">
        <v>2017</v>
      </c>
      <c r="Q27" s="24">
        <v>2018</v>
      </c>
      <c r="R27" s="24">
        <v>2019</v>
      </c>
      <c r="S27" s="24">
        <v>2020</v>
      </c>
      <c r="T27" s="46" t="str">
        <f>T17</f>
        <v>% Share - 2020</v>
      </c>
    </row>
    <row r="28" spans="1:20" s="31" customFormat="1" ht="14.5">
      <c r="A28" s="27" t="s">
        <v>6</v>
      </c>
      <c r="B28" s="28">
        <f>1775.70276*1000</f>
        <v>1775702.76</v>
      </c>
      <c r="C28" s="28">
        <v>1932625.9783233334</v>
      </c>
      <c r="D28" s="28">
        <v>1994831.1201628768</v>
      </c>
      <c r="E28" s="28">
        <v>1992134.6387952336</v>
      </c>
      <c r="F28" s="28">
        <v>2088877.5938838182</v>
      </c>
      <c r="G28" s="28">
        <v>2200149.8072671024</v>
      </c>
      <c r="H28" s="28">
        <v>2361654.8588341246</v>
      </c>
      <c r="I28" s="28">
        <v>2444568.5406991104</v>
      </c>
      <c r="J28" s="28">
        <v>2608657.5231381361</v>
      </c>
      <c r="K28" s="28">
        <v>2764576.3618242592</v>
      </c>
      <c r="L28" s="28">
        <v>2822953.5643225689</v>
      </c>
      <c r="M28" s="28">
        <v>2894678.788629265</v>
      </c>
      <c r="N28" s="28">
        <v>3151181.7837338671</v>
      </c>
      <c r="O28" s="28">
        <v>3472983.7572085275</v>
      </c>
      <c r="P28" s="28">
        <v>3540745.461061554</v>
      </c>
      <c r="Q28" s="29">
        <v>3839903.8548141737</v>
      </c>
      <c r="R28" s="29">
        <v>4146319.4878423177</v>
      </c>
      <c r="S28" s="29">
        <v>4669182.3958449587</v>
      </c>
      <c r="T28" s="30">
        <f>S28/S$35</f>
        <v>0.33707471865864019</v>
      </c>
    </row>
    <row r="29" spans="1:20" s="31" customFormat="1" ht="14.5">
      <c r="A29" s="27" t="s">
        <v>7</v>
      </c>
      <c r="B29" s="28">
        <f>791.41108*1000</f>
        <v>791411.08</v>
      </c>
      <c r="C29" s="28">
        <v>863947.95118333329</v>
      </c>
      <c r="D29" s="28">
        <v>889147.4371428095</v>
      </c>
      <c r="E29" s="28">
        <v>903958.63748673908</v>
      </c>
      <c r="F29" s="28">
        <v>964494.086622003</v>
      </c>
      <c r="G29" s="28">
        <v>1026417.735313099</v>
      </c>
      <c r="H29" s="28">
        <v>1143006.4138025707</v>
      </c>
      <c r="I29" s="28">
        <v>1264818.2711714811</v>
      </c>
      <c r="J29" s="28">
        <v>1324307.5075752852</v>
      </c>
      <c r="K29" s="28">
        <v>1446079.8361453235</v>
      </c>
      <c r="L29" s="28">
        <v>1347850.6355474454</v>
      </c>
      <c r="M29" s="28">
        <v>1356637.1319909994</v>
      </c>
      <c r="N29" s="28">
        <v>1393988.4595360991</v>
      </c>
      <c r="O29" s="28">
        <v>1488432.481487717</v>
      </c>
      <c r="P29" s="28">
        <v>1524914.9464553087</v>
      </c>
      <c r="Q29" s="29">
        <v>1620547.7267112413</v>
      </c>
      <c r="R29" s="29">
        <v>1677181.3909652003</v>
      </c>
      <c r="S29" s="29">
        <v>1480027.8694360664</v>
      </c>
      <c r="T29" s="30">
        <f t="shared" ref="T29:T35" si="9">S29/S$35</f>
        <v>0.10684525370888384</v>
      </c>
    </row>
    <row r="30" spans="1:20" s="31" customFormat="1" ht="14.5">
      <c r="A30" s="27" t="s">
        <v>8</v>
      </c>
      <c r="B30" s="28">
        <f>2689.60961*1000</f>
        <v>2689609.61</v>
      </c>
      <c r="C30" s="28">
        <v>2863964.2605000017</v>
      </c>
      <c r="D30" s="28">
        <v>2931133.2582611218</v>
      </c>
      <c r="E30" s="28">
        <v>2985180.095693416</v>
      </c>
      <c r="F30" s="28">
        <v>3085523.3347577141</v>
      </c>
      <c r="G30" s="28">
        <v>3092211.1969570876</v>
      </c>
      <c r="H30" s="28">
        <v>2777855.0815315032</v>
      </c>
      <c r="I30" s="28">
        <v>2775994.8543883418</v>
      </c>
      <c r="J30" s="28">
        <v>2902454.6406316939</v>
      </c>
      <c r="K30" s="28">
        <v>2953755.5753845596</v>
      </c>
      <c r="L30" s="28">
        <v>3161353.6203916487</v>
      </c>
      <c r="M30" s="28">
        <v>3275467.8188925106</v>
      </c>
      <c r="N30" s="28">
        <v>3369939.0530320057</v>
      </c>
      <c r="O30" s="28">
        <v>3552381.2027945193</v>
      </c>
      <c r="P30" s="28">
        <v>3954751.740101248</v>
      </c>
      <c r="Q30" s="29">
        <v>4256451.2832683716</v>
      </c>
      <c r="R30" s="29">
        <v>4368068.805187311</v>
      </c>
      <c r="S30" s="29">
        <v>4068862.5933219208</v>
      </c>
      <c r="T30" s="30">
        <f t="shared" si="9"/>
        <v>0.29373680392634482</v>
      </c>
    </row>
    <row r="31" spans="1:20" s="31" customFormat="1" ht="14.5">
      <c r="A31" s="27" t="s">
        <v>9</v>
      </c>
      <c r="B31" s="28">
        <f>277*1000</f>
        <v>277000</v>
      </c>
      <c r="C31" s="28">
        <v>358963.79106333328</v>
      </c>
      <c r="D31" s="28">
        <v>268892.76729429932</v>
      </c>
      <c r="E31" s="28">
        <v>298093.58055344829</v>
      </c>
      <c r="F31" s="28">
        <v>418106.86401832593</v>
      </c>
      <c r="G31" s="28">
        <v>310723.41627129284</v>
      </c>
      <c r="H31" s="28">
        <v>416778.67196335061</v>
      </c>
      <c r="I31" s="28">
        <v>355534.17167689936</v>
      </c>
      <c r="J31" s="28">
        <v>331556.84934978618</v>
      </c>
      <c r="K31" s="28">
        <v>335828.83843317756</v>
      </c>
      <c r="L31" s="28">
        <v>562662.314490841</v>
      </c>
      <c r="M31" s="28">
        <v>538475.69699977746</v>
      </c>
      <c r="N31" s="28">
        <v>538067.35347897594</v>
      </c>
      <c r="O31" s="28">
        <v>626710.12434927805</v>
      </c>
      <c r="P31" s="28">
        <v>476178.178976817</v>
      </c>
      <c r="Q31" s="29">
        <v>527474.14667654969</v>
      </c>
      <c r="R31" s="29">
        <v>595674.15647583269</v>
      </c>
      <c r="S31" s="29">
        <v>572471.21276125917</v>
      </c>
      <c r="T31" s="30">
        <f t="shared" si="9"/>
        <v>4.1327486618083158E-2</v>
      </c>
    </row>
    <row r="32" spans="1:20" s="14" customFormat="1">
      <c r="A32" s="32" t="s">
        <v>10</v>
      </c>
      <c r="B32" s="33">
        <f t="shared" ref="B32:N32" si="10">SUM(B28:B31)</f>
        <v>5533723.4499999993</v>
      </c>
      <c r="C32" s="33">
        <f t="shared" si="10"/>
        <v>6019501.9810700016</v>
      </c>
      <c r="D32" s="33">
        <f t="shared" si="10"/>
        <v>6084004.5828611068</v>
      </c>
      <c r="E32" s="33">
        <f t="shared" si="10"/>
        <v>6179366.9525288362</v>
      </c>
      <c r="F32" s="33">
        <f t="shared" si="10"/>
        <v>6557001.8792818608</v>
      </c>
      <c r="G32" s="33">
        <f t="shared" si="10"/>
        <v>6629502.155808582</v>
      </c>
      <c r="H32" s="33">
        <f t="shared" si="10"/>
        <v>6699295.0261315499</v>
      </c>
      <c r="I32" s="33">
        <f t="shared" si="10"/>
        <v>6840915.8379358323</v>
      </c>
      <c r="J32" s="33">
        <f t="shared" si="10"/>
        <v>7166976.5206949012</v>
      </c>
      <c r="K32" s="33">
        <f t="shared" si="10"/>
        <v>7500240.6117873201</v>
      </c>
      <c r="L32" s="33">
        <f t="shared" si="10"/>
        <v>7894820.1347525036</v>
      </c>
      <c r="M32" s="33">
        <f t="shared" si="10"/>
        <v>8065259.4365125522</v>
      </c>
      <c r="N32" s="33">
        <f t="shared" si="10"/>
        <v>8453176.6497809477</v>
      </c>
      <c r="O32" s="33">
        <f>SUM(O28:O31)</f>
        <v>9140507.5658400413</v>
      </c>
      <c r="P32" s="33">
        <f>SUM(P28:P31)</f>
        <v>9496590.3265949283</v>
      </c>
      <c r="Q32" s="34">
        <f>SUM(Q28:Q31)</f>
        <v>10244377.011470336</v>
      </c>
      <c r="R32" s="34">
        <f>SUM(R28:R31)</f>
        <v>10787243.840470662</v>
      </c>
      <c r="S32" s="34">
        <f>SUM(S28:S31)</f>
        <v>10790544.071364205</v>
      </c>
      <c r="T32" s="35">
        <f t="shared" si="9"/>
        <v>0.778984262911952</v>
      </c>
    </row>
    <row r="33" spans="1:20" s="14" customFormat="1">
      <c r="A33" s="32" t="s">
        <v>11</v>
      </c>
      <c r="B33" s="33">
        <f>100.2084057483*1000</f>
        <v>100208.40574829999</v>
      </c>
      <c r="C33" s="33">
        <v>136742.50867333333</v>
      </c>
      <c r="D33" s="33">
        <v>173315.34767246904</v>
      </c>
      <c r="E33" s="33">
        <v>177648.64725769326</v>
      </c>
      <c r="F33" s="33">
        <v>279435.80044359248</v>
      </c>
      <c r="G33" s="33">
        <v>276772.01602857362</v>
      </c>
      <c r="H33" s="33">
        <v>293218.12003014813</v>
      </c>
      <c r="I33" s="33">
        <v>282261.40267313702</v>
      </c>
      <c r="J33" s="33">
        <v>288559.05405592296</v>
      </c>
      <c r="K33" s="33">
        <v>306426.24443754921</v>
      </c>
      <c r="L33" s="33">
        <v>354596.74707277928</v>
      </c>
      <c r="M33" s="33">
        <v>371724.8831024355</v>
      </c>
      <c r="N33" s="33">
        <v>395268.20017959765</v>
      </c>
      <c r="O33" s="48">
        <v>651155.71235834213</v>
      </c>
      <c r="P33" s="48">
        <v>859896.03335684142</v>
      </c>
      <c r="Q33" s="34">
        <v>987156.62470792397</v>
      </c>
      <c r="R33" s="34">
        <v>1085523.4866486122</v>
      </c>
      <c r="S33" s="34">
        <v>1314249.2449501224</v>
      </c>
      <c r="T33" s="35">
        <f t="shared" si="9"/>
        <v>9.4877466102654837E-2</v>
      </c>
    </row>
    <row r="34" spans="1:20" s="14" customFormat="1">
      <c r="A34" s="32" t="s">
        <v>12</v>
      </c>
      <c r="B34" s="33">
        <f>876.997788598952*1000</f>
        <v>876997.788598952</v>
      </c>
      <c r="C34" s="33">
        <f>930761.671076667+84</f>
        <v>930845.67107666703</v>
      </c>
      <c r="D34" s="33">
        <v>985339.13710642268</v>
      </c>
      <c r="E34" s="33">
        <v>1056933.5554934707</v>
      </c>
      <c r="F34" s="33">
        <v>1053845.7426400639</v>
      </c>
      <c r="G34" s="33">
        <v>1065482.2534110069</v>
      </c>
      <c r="H34" s="33">
        <v>1242765.1056300544</v>
      </c>
      <c r="I34" s="33">
        <v>1279592.0576994324</v>
      </c>
      <c r="J34" s="33">
        <v>1247112.3780091754</v>
      </c>
      <c r="K34" s="33">
        <v>1320204.3056951307</v>
      </c>
      <c r="L34" s="33">
        <v>1097314.2617560679</v>
      </c>
      <c r="M34" s="33">
        <v>1043607.6553504528</v>
      </c>
      <c r="N34" s="33">
        <v>1281421.5209823996</v>
      </c>
      <c r="O34" s="48">
        <v>1553793.6161857874</v>
      </c>
      <c r="P34" s="48">
        <v>1447550.7653907954</v>
      </c>
      <c r="Q34" s="34">
        <v>1538326.9889543033</v>
      </c>
      <c r="R34" s="34">
        <v>1932424.5756543612</v>
      </c>
      <c r="S34" s="34">
        <v>1747276.0432796779</v>
      </c>
      <c r="T34" s="35">
        <f t="shared" si="9"/>
        <v>0.12613826806842868</v>
      </c>
    </row>
    <row r="35" spans="1:20" s="39" customFormat="1" ht="15.5">
      <c r="A35" s="23" t="s">
        <v>13</v>
      </c>
      <c r="B35" s="36">
        <f t="shared" ref="B35:P35" si="11">SUM(B32:B34)</f>
        <v>6510929.6443472514</v>
      </c>
      <c r="C35" s="36">
        <f t="shared" si="11"/>
        <v>7087090.1608200017</v>
      </c>
      <c r="D35" s="36">
        <f t="shared" si="11"/>
        <v>7242659.0676399982</v>
      </c>
      <c r="E35" s="36">
        <f t="shared" si="11"/>
        <v>7413949.1552799996</v>
      </c>
      <c r="F35" s="36">
        <f t="shared" si="11"/>
        <v>7890283.4223655174</v>
      </c>
      <c r="G35" s="36">
        <f t="shared" si="11"/>
        <v>7971756.4252481628</v>
      </c>
      <c r="H35" s="36">
        <f t="shared" si="11"/>
        <v>8235278.2517917519</v>
      </c>
      <c r="I35" s="36">
        <f t="shared" si="11"/>
        <v>8402769.2983084023</v>
      </c>
      <c r="J35" s="36">
        <f t="shared" si="11"/>
        <v>8702647.9527599998</v>
      </c>
      <c r="K35" s="36">
        <f t="shared" si="11"/>
        <v>9126871.1619199999</v>
      </c>
      <c r="L35" s="36">
        <f t="shared" si="11"/>
        <v>9346731.1435813513</v>
      </c>
      <c r="M35" s="36">
        <f t="shared" si="11"/>
        <v>9480591.9749654401</v>
      </c>
      <c r="N35" s="36">
        <f t="shared" si="11"/>
        <v>10129866.370942945</v>
      </c>
      <c r="O35" s="36">
        <f t="shared" si="11"/>
        <v>11345456.894384172</v>
      </c>
      <c r="P35" s="36">
        <f t="shared" si="11"/>
        <v>11804037.125342565</v>
      </c>
      <c r="Q35" s="37">
        <f>ROUND(SUM(Q32:Q34),1)</f>
        <v>12769860.6</v>
      </c>
      <c r="R35" s="37">
        <f>ROUND(SUM(R32:R34),1)</f>
        <v>13805191.9</v>
      </c>
      <c r="S35" s="37">
        <f>ROUND(SUM(S32:S34),1)</f>
        <v>13852069.4</v>
      </c>
      <c r="T35" s="38">
        <f t="shared" si="9"/>
        <v>1</v>
      </c>
    </row>
    <row r="36" spans="1:20" s="40" customFormat="1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9"/>
      <c r="P36" s="49"/>
      <c r="Q36" s="50"/>
      <c r="R36" s="50"/>
      <c r="S36" s="50"/>
      <c r="T36" s="43"/>
    </row>
    <row r="37" spans="1:20" s="51" customFormat="1" ht="15.5">
      <c r="A37" s="44" t="s">
        <v>16</v>
      </c>
      <c r="B37" s="45">
        <v>2003</v>
      </c>
      <c r="C37" s="45">
        <v>2004</v>
      </c>
      <c r="D37" s="45">
        <f t="shared" ref="D37:M37" si="12">C37+1</f>
        <v>2005</v>
      </c>
      <c r="E37" s="45">
        <f t="shared" si="12"/>
        <v>2006</v>
      </c>
      <c r="F37" s="45">
        <f t="shared" si="12"/>
        <v>2007</v>
      </c>
      <c r="G37" s="45">
        <f t="shared" si="12"/>
        <v>2008</v>
      </c>
      <c r="H37" s="45">
        <f t="shared" si="12"/>
        <v>2009</v>
      </c>
      <c r="I37" s="45">
        <f t="shared" si="12"/>
        <v>2010</v>
      </c>
      <c r="J37" s="45">
        <f t="shared" si="12"/>
        <v>2011</v>
      </c>
      <c r="K37" s="45">
        <f t="shared" si="12"/>
        <v>2012</v>
      </c>
      <c r="L37" s="45">
        <f t="shared" si="12"/>
        <v>2013</v>
      </c>
      <c r="M37" s="45">
        <f t="shared" si="12"/>
        <v>2014</v>
      </c>
      <c r="N37" s="45">
        <f>M37+1</f>
        <v>2015</v>
      </c>
      <c r="O37" s="24">
        <f>N37+1</f>
        <v>2016</v>
      </c>
      <c r="P37" s="24">
        <v>2017</v>
      </c>
      <c r="Q37" s="24">
        <v>2018</v>
      </c>
      <c r="R37" s="24">
        <v>2019</v>
      </c>
      <c r="S37" s="24">
        <v>2020</v>
      </c>
      <c r="T37" s="46" t="str">
        <f>T27</f>
        <v>% Share - 2020</v>
      </c>
    </row>
    <row r="38" spans="1:20" s="31" customFormat="1" ht="14.5">
      <c r="A38" s="27" t="s">
        <v>6</v>
      </c>
      <c r="B38" s="28">
        <f t="shared" ref="B38:L44" si="13">SUM(B8,B18,B28)</f>
        <v>15356581.790000001</v>
      </c>
      <c r="C38" s="28">
        <f t="shared" si="13"/>
        <v>15920237.14832345</v>
      </c>
      <c r="D38" s="28">
        <f t="shared" si="13"/>
        <v>16031357.775668241</v>
      </c>
      <c r="E38" s="28">
        <f t="shared" si="13"/>
        <v>15830201.017209575</v>
      </c>
      <c r="F38" s="28">
        <f t="shared" si="13"/>
        <v>16375589.34695884</v>
      </c>
      <c r="G38" s="28">
        <f t="shared" si="13"/>
        <v>16644229.780203611</v>
      </c>
      <c r="H38" s="28">
        <f t="shared" si="13"/>
        <v>17503743.811734386</v>
      </c>
      <c r="I38" s="28">
        <f t="shared" si="13"/>
        <v>18833007.354436897</v>
      </c>
      <c r="J38" s="28">
        <f t="shared" si="13"/>
        <v>18693545.857685126</v>
      </c>
      <c r="K38" s="28">
        <f t="shared" si="13"/>
        <v>19694896.207653046</v>
      </c>
      <c r="L38" s="28">
        <f t="shared" si="13"/>
        <v>20613716.90258348</v>
      </c>
      <c r="M38" s="28">
        <f t="shared" ref="M38:S41" si="14">M8+M18+M28</f>
        <v>20968871.511744726</v>
      </c>
      <c r="N38" s="28">
        <f t="shared" si="14"/>
        <v>22747048.563686408</v>
      </c>
      <c r="O38" s="28">
        <f t="shared" si="14"/>
        <v>25631254.474180967</v>
      </c>
      <c r="P38" s="28">
        <f t="shared" si="14"/>
        <v>26782033.315493084</v>
      </c>
      <c r="Q38" s="29">
        <f t="shared" si="14"/>
        <v>28260764.417354308</v>
      </c>
      <c r="R38" s="29">
        <f t="shared" si="14"/>
        <v>30551604.275728531</v>
      </c>
      <c r="S38" s="29">
        <f t="shared" si="14"/>
        <v>34291585.415376857</v>
      </c>
      <c r="T38" s="30">
        <f>S38/S$45</f>
        <v>0.33699909289153362</v>
      </c>
    </row>
    <row r="39" spans="1:20" s="31" customFormat="1" ht="14.5">
      <c r="A39" s="27" t="s">
        <v>7</v>
      </c>
      <c r="B39" s="28">
        <f>SUM(B9,B19,B29)</f>
        <v>11106046.430000002</v>
      </c>
      <c r="C39" s="28">
        <f t="shared" si="13"/>
        <v>11785181.211948864</v>
      </c>
      <c r="D39" s="28">
        <f t="shared" si="13"/>
        <v>12245446.93561214</v>
      </c>
      <c r="E39" s="28">
        <f t="shared" si="13"/>
        <v>12679047.921854028</v>
      </c>
      <c r="F39" s="28">
        <f t="shared" si="13"/>
        <v>13470414.231506731</v>
      </c>
      <c r="G39" s="28">
        <f t="shared" si="13"/>
        <v>14136004.355729032</v>
      </c>
      <c r="H39" s="28">
        <f t="shared" si="13"/>
        <v>14756204.478754498</v>
      </c>
      <c r="I39" s="28">
        <f t="shared" si="13"/>
        <v>16260562.203952733</v>
      </c>
      <c r="J39" s="28">
        <f t="shared" si="13"/>
        <v>16623834.096148068</v>
      </c>
      <c r="K39" s="28">
        <f t="shared" si="13"/>
        <v>17777222.020115957</v>
      </c>
      <c r="L39" s="28">
        <f t="shared" si="13"/>
        <v>18303746.80749093</v>
      </c>
      <c r="M39" s="28">
        <f t="shared" si="14"/>
        <v>18760787.100282427</v>
      </c>
      <c r="N39" s="28">
        <f t="shared" si="14"/>
        <v>20084784.601889305</v>
      </c>
      <c r="O39" s="28">
        <f t="shared" si="14"/>
        <v>21770167.406176709</v>
      </c>
      <c r="P39" s="28">
        <f t="shared" si="14"/>
        <v>22767980.790721133</v>
      </c>
      <c r="Q39" s="29">
        <f t="shared" si="14"/>
        <v>24016270.36539321</v>
      </c>
      <c r="R39" s="29">
        <f t="shared" si="14"/>
        <v>25475850.339048184</v>
      </c>
      <c r="S39" s="29">
        <f t="shared" si="14"/>
        <v>20727102.780774854</v>
      </c>
      <c r="T39" s="30">
        <f t="shared" ref="T39:T45" si="15">S39/S$45</f>
        <v>0.203694718420879</v>
      </c>
    </row>
    <row r="40" spans="1:20" s="31" customFormat="1" ht="14.5">
      <c r="A40" s="27" t="s">
        <v>8</v>
      </c>
      <c r="B40" s="28">
        <f>SUM(B10,B20,B30)</f>
        <v>15188292.889999999</v>
      </c>
      <c r="C40" s="28">
        <f t="shared" si="13"/>
        <v>15011991.748612445</v>
      </c>
      <c r="D40" s="28">
        <f t="shared" si="13"/>
        <v>15705160.402676368</v>
      </c>
      <c r="E40" s="28">
        <f t="shared" si="13"/>
        <v>15888140.660972077</v>
      </c>
      <c r="F40" s="28">
        <f t="shared" si="13"/>
        <v>16521717.251362655</v>
      </c>
      <c r="G40" s="28">
        <f t="shared" si="13"/>
        <v>17030902.871284567</v>
      </c>
      <c r="H40" s="28">
        <f t="shared" si="13"/>
        <v>17084427.372270111</v>
      </c>
      <c r="I40" s="28">
        <f t="shared" si="13"/>
        <v>18576307.351860218</v>
      </c>
      <c r="J40" s="28">
        <f t="shared" si="13"/>
        <v>19333953.768439725</v>
      </c>
      <c r="K40" s="28">
        <f t="shared" si="13"/>
        <v>20070972.400327347</v>
      </c>
      <c r="L40" s="28">
        <f t="shared" si="13"/>
        <v>20676799.087248262</v>
      </c>
      <c r="M40" s="28">
        <f t="shared" si="14"/>
        <v>21428667.484576173</v>
      </c>
      <c r="N40" s="28">
        <f t="shared" si="14"/>
        <v>22513881.987629123</v>
      </c>
      <c r="O40" s="28">
        <f t="shared" si="14"/>
        <v>24116819.573580481</v>
      </c>
      <c r="P40" s="28">
        <f t="shared" si="14"/>
        <v>25573266.922906496</v>
      </c>
      <c r="Q40" s="29">
        <f t="shared" si="14"/>
        <v>27587348.41198238</v>
      </c>
      <c r="R40" s="29">
        <f t="shared" si="14"/>
        <v>28193978.156333748</v>
      </c>
      <c r="S40" s="29">
        <f t="shared" si="14"/>
        <v>25566327.368563093</v>
      </c>
      <c r="T40" s="30">
        <f t="shared" si="15"/>
        <v>0.25125199163029327</v>
      </c>
    </row>
    <row r="41" spans="1:20" s="31" customFormat="1" ht="14.5">
      <c r="A41" s="27" t="s">
        <v>9</v>
      </c>
      <c r="B41" s="28">
        <f>SUM(B11,B21,B31)</f>
        <v>1069072.48386</v>
      </c>
      <c r="C41" s="28">
        <f t="shared" si="13"/>
        <v>1358548.627667963</v>
      </c>
      <c r="D41" s="28">
        <f t="shared" si="13"/>
        <v>1177436.5193249816</v>
      </c>
      <c r="E41" s="28">
        <f t="shared" si="13"/>
        <v>1274783.4665456975</v>
      </c>
      <c r="F41" s="28">
        <f t="shared" si="13"/>
        <v>1641317.3912436829</v>
      </c>
      <c r="G41" s="28">
        <f t="shared" si="13"/>
        <v>1394977.3895983219</v>
      </c>
      <c r="H41" s="28">
        <f t="shared" si="13"/>
        <v>1523465.6608797091</v>
      </c>
      <c r="I41" s="28">
        <f t="shared" si="13"/>
        <v>1595891.9374255219</v>
      </c>
      <c r="J41" s="28">
        <f t="shared" si="13"/>
        <v>1446257.4163094056</v>
      </c>
      <c r="K41" s="28">
        <f t="shared" si="13"/>
        <v>1667527.2718995064</v>
      </c>
      <c r="L41" s="28">
        <f t="shared" si="13"/>
        <v>1971349.2910497291</v>
      </c>
      <c r="M41" s="28">
        <f t="shared" si="14"/>
        <v>2186458.8812639541</v>
      </c>
      <c r="N41" s="28">
        <f t="shared" si="14"/>
        <v>2462031.4457114078</v>
      </c>
      <c r="O41" s="28">
        <f t="shared" si="14"/>
        <v>2634265.7388828201</v>
      </c>
      <c r="P41" s="28">
        <f t="shared" si="14"/>
        <v>2669528.9972910224</v>
      </c>
      <c r="Q41" s="29">
        <f t="shared" si="14"/>
        <v>2752718.6910263454</v>
      </c>
      <c r="R41" s="29">
        <f t="shared" si="14"/>
        <v>2896601.9710899787</v>
      </c>
      <c r="S41" s="29">
        <f t="shared" si="14"/>
        <v>2657767.6565569928</v>
      </c>
      <c r="T41" s="30">
        <f t="shared" si="15"/>
        <v>2.6119098272269849E-2</v>
      </c>
    </row>
    <row r="42" spans="1:20" s="14" customFormat="1">
      <c r="A42" s="32" t="s">
        <v>10</v>
      </c>
      <c r="B42" s="33">
        <f t="shared" ref="B42:N42" si="16">SUM(B38:B41)</f>
        <v>42719993.59386</v>
      </c>
      <c r="C42" s="33">
        <f t="shared" si="16"/>
        <v>44075958.736552723</v>
      </c>
      <c r="D42" s="33">
        <f t="shared" si="16"/>
        <v>45159401.63328173</v>
      </c>
      <c r="E42" s="33">
        <f t="shared" si="16"/>
        <v>45672173.066581383</v>
      </c>
      <c r="F42" s="33">
        <f t="shared" si="16"/>
        <v>48009038.221071914</v>
      </c>
      <c r="G42" s="33">
        <f t="shared" si="16"/>
        <v>49206114.396815538</v>
      </c>
      <c r="H42" s="33">
        <f t="shared" si="16"/>
        <v>50867841.3236387</v>
      </c>
      <c r="I42" s="33">
        <f t="shared" si="16"/>
        <v>55265768.847675376</v>
      </c>
      <c r="J42" s="33">
        <f t="shared" si="16"/>
        <v>56097591.138582326</v>
      </c>
      <c r="K42" s="33">
        <f t="shared" si="16"/>
        <v>59210617.899995856</v>
      </c>
      <c r="L42" s="33">
        <f t="shared" si="16"/>
        <v>61565612.088372402</v>
      </c>
      <c r="M42" s="33">
        <f t="shared" si="16"/>
        <v>63344784.977867283</v>
      </c>
      <c r="N42" s="33">
        <f t="shared" si="16"/>
        <v>67807746.598916247</v>
      </c>
      <c r="O42" s="33">
        <f>SUM(O38:O41)</f>
        <v>74152507.192820981</v>
      </c>
      <c r="P42" s="33">
        <f>SUM(P38:P41)</f>
        <v>77792810.026411742</v>
      </c>
      <c r="Q42" s="34">
        <f>SUM(Q38:Q41)</f>
        <v>82617101.885756239</v>
      </c>
      <c r="R42" s="34">
        <f>SUM(R38:R41)</f>
        <v>87118034.742200434</v>
      </c>
      <c r="S42" s="34">
        <f>SUM(S38:S41)</f>
        <v>83242783.221271798</v>
      </c>
      <c r="T42" s="35">
        <f t="shared" si="15"/>
        <v>0.81806490121497577</v>
      </c>
    </row>
    <row r="43" spans="1:20" s="14" customFormat="1">
      <c r="A43" s="32" t="s">
        <v>11</v>
      </c>
      <c r="B43" s="33">
        <f t="shared" si="13"/>
        <v>3410464.2458299398</v>
      </c>
      <c r="C43" s="33">
        <f t="shared" si="13"/>
        <v>4653912.5908596097</v>
      </c>
      <c r="D43" s="33">
        <f t="shared" si="13"/>
        <v>4591166.6114476034</v>
      </c>
      <c r="E43" s="33">
        <f t="shared" si="13"/>
        <v>4227443.098614838</v>
      </c>
      <c r="F43" s="33">
        <f t="shared" si="13"/>
        <v>3994269.7457522359</v>
      </c>
      <c r="G43" s="33">
        <f t="shared" si="13"/>
        <v>3934745.8062056964</v>
      </c>
      <c r="H43" s="33">
        <f t="shared" si="13"/>
        <v>3524366.4077943237</v>
      </c>
      <c r="I43" s="33">
        <f t="shared" si="13"/>
        <v>4676820.147827086</v>
      </c>
      <c r="J43" s="33">
        <f t="shared" si="13"/>
        <v>5398479.7036054293</v>
      </c>
      <c r="K43" s="33">
        <f t="shared" si="13"/>
        <v>5351151.8635813445</v>
      </c>
      <c r="L43" s="33">
        <f t="shared" si="13"/>
        <v>5959404.8176722294</v>
      </c>
      <c r="M43" s="33">
        <f t="shared" ref="M43:S44" si="17">M13+M23+M33</f>
        <v>6461271.8265945427</v>
      </c>
      <c r="N43" s="33">
        <f t="shared" si="17"/>
        <v>7124273.9681993052</v>
      </c>
      <c r="O43" s="33">
        <f t="shared" si="17"/>
        <v>8357339.04295687</v>
      </c>
      <c r="P43" s="33">
        <f t="shared" si="17"/>
        <v>8315783.975743982</v>
      </c>
      <c r="Q43" s="34">
        <f t="shared" si="17"/>
        <v>8141035.9445540868</v>
      </c>
      <c r="R43" s="34">
        <f t="shared" si="17"/>
        <v>8929107.0158529729</v>
      </c>
      <c r="S43" s="34">
        <f t="shared" si="17"/>
        <v>8771215.9335114229</v>
      </c>
      <c r="T43" s="35">
        <f t="shared" si="15"/>
        <v>8.6198750432333465E-2</v>
      </c>
    </row>
    <row r="44" spans="1:20" s="14" customFormat="1">
      <c r="A44" s="32" t="s">
        <v>12</v>
      </c>
      <c r="B44" s="33">
        <f t="shared" si="13"/>
        <v>6810078.9773372589</v>
      </c>
      <c r="C44" s="33">
        <f t="shared" si="13"/>
        <v>7227558.1805301979</v>
      </c>
      <c r="D44" s="33">
        <f t="shared" si="13"/>
        <v>6817172.4250561139</v>
      </c>
      <c r="E44" s="33">
        <f t="shared" si="13"/>
        <v>6884513.5270037856</v>
      </c>
      <c r="F44" s="33">
        <f t="shared" si="13"/>
        <v>7608479.9382320167</v>
      </c>
      <c r="G44" s="33">
        <f t="shared" si="13"/>
        <v>7680125.0947947986</v>
      </c>
      <c r="H44" s="33">
        <f t="shared" si="13"/>
        <v>7542224.3246630747</v>
      </c>
      <c r="I44" s="33">
        <f t="shared" si="13"/>
        <v>7800170.0668319641</v>
      </c>
      <c r="J44" s="33">
        <f t="shared" si="13"/>
        <v>7679578.9549383912</v>
      </c>
      <c r="K44" s="33">
        <f t="shared" si="13"/>
        <v>8360240.9737384534</v>
      </c>
      <c r="L44" s="33">
        <f t="shared" si="13"/>
        <v>7740824.7920508096</v>
      </c>
      <c r="M44" s="33">
        <f t="shared" si="17"/>
        <v>7454940.6003882997</v>
      </c>
      <c r="N44" s="33">
        <f t="shared" si="17"/>
        <v>7481192.3577005789</v>
      </c>
      <c r="O44" s="33">
        <f t="shared" si="17"/>
        <v>8288045.2630312694</v>
      </c>
      <c r="P44" s="33">
        <f t="shared" si="17"/>
        <v>8261747.2272792682</v>
      </c>
      <c r="Q44" s="34">
        <f t="shared" si="17"/>
        <v>9006580.2103825621</v>
      </c>
      <c r="R44" s="34">
        <f t="shared" si="17"/>
        <v>9994346.5836725179</v>
      </c>
      <c r="S44" s="34">
        <f t="shared" si="17"/>
        <v>9741721.0791995227</v>
      </c>
      <c r="T44" s="35">
        <f t="shared" si="15"/>
        <v>9.5736348352690834E-2</v>
      </c>
    </row>
    <row r="45" spans="1:20" s="39" customFormat="1" ht="15.5">
      <c r="A45" s="23" t="s">
        <v>13</v>
      </c>
      <c r="B45" s="36">
        <f t="shared" ref="B45:I45" si="18">SUM(B42:B44)</f>
        <v>52940536.817027196</v>
      </c>
      <c r="C45" s="36">
        <f t="shared" si="18"/>
        <v>55957429.507942528</v>
      </c>
      <c r="D45" s="36">
        <f t="shared" si="18"/>
        <v>56567740.669785447</v>
      </c>
      <c r="E45" s="36">
        <f t="shared" si="18"/>
        <v>56784129.692200013</v>
      </c>
      <c r="F45" s="36">
        <f t="shared" si="18"/>
        <v>59611787.905056171</v>
      </c>
      <c r="G45" s="36">
        <f t="shared" si="18"/>
        <v>60820985.297816038</v>
      </c>
      <c r="H45" s="36">
        <f t="shared" si="18"/>
        <v>61934432.056096099</v>
      </c>
      <c r="I45" s="36">
        <f t="shared" si="18"/>
        <v>67742759.062334433</v>
      </c>
      <c r="J45" s="36">
        <f t="shared" ref="J45:P45" si="19">SUM(J42:J44)</f>
        <v>69175649.797126144</v>
      </c>
      <c r="K45" s="36">
        <f t="shared" si="19"/>
        <v>72922010.737315655</v>
      </c>
      <c r="L45" s="36">
        <f t="shared" si="19"/>
        <v>75265841.698095441</v>
      </c>
      <c r="M45" s="36">
        <f t="shared" si="19"/>
        <v>77260997.404850125</v>
      </c>
      <c r="N45" s="36">
        <f t="shared" si="19"/>
        <v>82413212.924816132</v>
      </c>
      <c r="O45" s="36">
        <f t="shared" si="19"/>
        <v>90797891.498809129</v>
      </c>
      <c r="P45" s="36">
        <f t="shared" si="19"/>
        <v>94370341.229434997</v>
      </c>
      <c r="Q45" s="52">
        <f>ROUND(SUM(Q42:Q44),1)</f>
        <v>99764718</v>
      </c>
      <c r="R45" s="37">
        <f>R42+R43+R44</f>
        <v>106041488.34172593</v>
      </c>
      <c r="S45" s="37">
        <f>S42+S43+S44</f>
        <v>101755720.23398274</v>
      </c>
      <c r="T45" s="38">
        <f t="shared" si="15"/>
        <v>1</v>
      </c>
    </row>
    <row r="47" spans="1:20">
      <c r="A47" s="53" t="str">
        <f>'[1]1. Summary'!A68</f>
        <v>Updated as of 28 April 2021</v>
      </c>
    </row>
    <row r="48" spans="1:20" hidden="1">
      <c r="C48" s="54">
        <f t="shared" ref="C48:K55" si="20">(C38-B38)/B38</f>
        <v>3.6704480595446967E-2</v>
      </c>
      <c r="D48" s="54">
        <f t="shared" si="20"/>
        <v>6.9798349301909042E-3</v>
      </c>
      <c r="E48" s="54">
        <f t="shared" si="20"/>
        <v>-1.254770564499373E-2</v>
      </c>
      <c r="F48" s="54">
        <f t="shared" si="20"/>
        <v>3.4452394455152822E-2</v>
      </c>
      <c r="G48" s="54">
        <f t="shared" si="20"/>
        <v>1.6404932216663115E-2</v>
      </c>
      <c r="H48" s="54">
        <f t="shared" si="20"/>
        <v>5.1640360826613184E-2</v>
      </c>
      <c r="I48" s="54">
        <f t="shared" si="20"/>
        <v>7.5941670364906858E-2</v>
      </c>
      <c r="J48" s="54">
        <f t="shared" si="20"/>
        <v>-7.4051633988723754E-3</v>
      </c>
      <c r="K48" s="54">
        <f t="shared" si="20"/>
        <v>5.3566635115202231E-2</v>
      </c>
      <c r="L48" s="21">
        <f>AVERAGE(C48:K48)</f>
        <v>2.8415271051145552E-2</v>
      </c>
      <c r="M48" s="21"/>
      <c r="N48" s="21"/>
      <c r="O48" s="55"/>
      <c r="P48" s="55"/>
    </row>
    <row r="49" spans="2:20" hidden="1">
      <c r="C49" s="54">
        <f t="shared" si="20"/>
        <v>6.1150003849647375E-2</v>
      </c>
      <c r="D49" s="54">
        <f t="shared" si="20"/>
        <v>3.9054615740368739E-2</v>
      </c>
      <c r="E49" s="54">
        <f t="shared" si="20"/>
        <v>3.5409159708241621E-2</v>
      </c>
      <c r="F49" s="54">
        <f t="shared" si="20"/>
        <v>6.2415278696807949E-2</v>
      </c>
      <c r="G49" s="54">
        <f t="shared" si="20"/>
        <v>4.9411258836087886E-2</v>
      </c>
      <c r="H49" s="54">
        <f t="shared" si="20"/>
        <v>4.3873792580865427E-2</v>
      </c>
      <c r="I49" s="54">
        <f t="shared" si="20"/>
        <v>0.10194747079875184</v>
      </c>
      <c r="J49" s="54">
        <f t="shared" si="20"/>
        <v>2.2340672335857362E-2</v>
      </c>
      <c r="K49" s="54">
        <f t="shared" si="20"/>
        <v>6.9381582930687552E-2</v>
      </c>
      <c r="L49" s="21">
        <f t="shared" ref="L49:L55" si="21">AVERAGE(C49:K49)</f>
        <v>5.388709283081286E-2</v>
      </c>
      <c r="M49" s="21"/>
      <c r="N49" s="21"/>
      <c r="O49" s="55"/>
      <c r="P49" s="55"/>
    </row>
    <row r="50" spans="2:20" hidden="1">
      <c r="B50" s="56"/>
      <c r="C50" s="54">
        <f t="shared" si="20"/>
        <v>-1.1607699605505428E-2</v>
      </c>
      <c r="D50" s="54">
        <f t="shared" si="20"/>
        <v>4.6174329540781468E-2</v>
      </c>
      <c r="E50" s="54">
        <f t="shared" si="20"/>
        <v>1.1650963989169254E-2</v>
      </c>
      <c r="F50" s="54">
        <f t="shared" si="20"/>
        <v>3.9877327618763295E-2</v>
      </c>
      <c r="G50" s="54">
        <f t="shared" si="20"/>
        <v>3.0819170439435745E-2</v>
      </c>
      <c r="H50" s="54">
        <f t="shared" si="20"/>
        <v>3.1427870495222346E-3</v>
      </c>
      <c r="I50" s="54">
        <f t="shared" si="20"/>
        <v>8.7323967440172484E-2</v>
      </c>
      <c r="J50" s="54">
        <f t="shared" si="20"/>
        <v>4.0785630977603154E-2</v>
      </c>
      <c r="K50" s="54">
        <f t="shared" si="20"/>
        <v>3.812043003282202E-2</v>
      </c>
      <c r="L50" s="21">
        <f t="shared" si="21"/>
        <v>3.1809656386973799E-2</v>
      </c>
      <c r="M50" s="21"/>
      <c r="N50" s="21"/>
      <c r="O50" s="55"/>
      <c r="P50" s="55"/>
    </row>
    <row r="51" spans="2:20" hidden="1">
      <c r="B51" s="56"/>
      <c r="C51" s="54">
        <f t="shared" si="20"/>
        <v>0.27077316849721783</v>
      </c>
      <c r="D51" s="54">
        <f t="shared" si="20"/>
        <v>-0.13331293753825516</v>
      </c>
      <c r="E51" s="54">
        <f t="shared" si="20"/>
        <v>8.2677023876008573E-2</v>
      </c>
      <c r="F51" s="54">
        <f t="shared" si="20"/>
        <v>0.28752641865617273</v>
      </c>
      <c r="G51" s="54">
        <f t="shared" si="20"/>
        <v>-0.1500867552854605</v>
      </c>
      <c r="H51" s="54">
        <f t="shared" si="20"/>
        <v>9.2107780555772928E-2</v>
      </c>
      <c r="I51" s="54">
        <f t="shared" si="20"/>
        <v>4.7540471968361309E-2</v>
      </c>
      <c r="J51" s="54">
        <f t="shared" si="20"/>
        <v>-9.3762314105994754E-2</v>
      </c>
      <c r="K51" s="54">
        <f t="shared" si="20"/>
        <v>0.1529947940766607</v>
      </c>
      <c r="L51" s="21">
        <f t="shared" si="21"/>
        <v>6.1828627855609289E-2</v>
      </c>
      <c r="M51" s="21"/>
      <c r="N51" s="21"/>
      <c r="O51" s="55"/>
      <c r="P51" s="55"/>
    </row>
    <row r="52" spans="2:20" hidden="1">
      <c r="B52" s="56"/>
      <c r="C52" s="54">
        <f t="shared" si="20"/>
        <v>3.174076184523611E-2</v>
      </c>
      <c r="D52" s="54">
        <f t="shared" si="20"/>
        <v>2.4581266699265129E-2</v>
      </c>
      <c r="E52" s="54">
        <f t="shared" si="20"/>
        <v>1.1354699459121025E-2</v>
      </c>
      <c r="F52" s="54">
        <f t="shared" si="20"/>
        <v>5.116606015404223E-2</v>
      </c>
      <c r="G52" s="54">
        <f t="shared" si="20"/>
        <v>2.4934391941603389E-2</v>
      </c>
      <c r="H52" s="54">
        <f t="shared" si="20"/>
        <v>3.3770740632402041E-2</v>
      </c>
      <c r="I52" s="54">
        <f t="shared" si="20"/>
        <v>8.6457915445154201E-2</v>
      </c>
      <c r="J52" s="54">
        <f t="shared" si="20"/>
        <v>1.5051311295417534E-2</v>
      </c>
      <c r="K52" s="54">
        <f t="shared" si="20"/>
        <v>5.5493055908999243E-2</v>
      </c>
      <c r="L52" s="21">
        <f t="shared" si="21"/>
        <v>3.7172244820137874E-2</v>
      </c>
      <c r="M52" s="21"/>
      <c r="N52" s="21"/>
      <c r="O52" s="55"/>
      <c r="P52" s="55"/>
    </row>
    <row r="53" spans="2:20" hidden="1">
      <c r="B53" s="56"/>
      <c r="C53" s="54">
        <f t="shared" si="20"/>
        <v>0.36459797124396343</v>
      </c>
      <c r="D53" s="54">
        <f t="shared" si="20"/>
        <v>-1.3482414675179064E-2</v>
      </c>
      <c r="E53" s="54">
        <f t="shared" si="20"/>
        <v>-7.9222459913752236E-2</v>
      </c>
      <c r="F53" s="54">
        <f t="shared" si="20"/>
        <v>-5.5157064784385527E-2</v>
      </c>
      <c r="G53" s="54">
        <f t="shared" si="20"/>
        <v>-1.4902333426489547E-2</v>
      </c>
      <c r="H53" s="54">
        <f t="shared" si="20"/>
        <v>-0.10429629221896407</v>
      </c>
      <c r="I53" s="54">
        <f t="shared" si="20"/>
        <v>0.32699600628471814</v>
      </c>
      <c r="J53" s="54">
        <f t="shared" si="20"/>
        <v>0.15430560358700901</v>
      </c>
      <c r="K53" s="54">
        <f t="shared" si="20"/>
        <v>-8.7668830156898449E-3</v>
      </c>
      <c r="L53" s="21">
        <f t="shared" si="21"/>
        <v>6.3341348120136698E-2</v>
      </c>
      <c r="M53" s="21"/>
      <c r="N53" s="21"/>
      <c r="O53" s="55"/>
      <c r="P53" s="55"/>
    </row>
    <row r="54" spans="2:20" hidden="1">
      <c r="C54" s="54">
        <f t="shared" si="20"/>
        <v>6.1303136803880859E-2</v>
      </c>
      <c r="D54" s="54">
        <f t="shared" si="20"/>
        <v>-5.6780692071022397E-2</v>
      </c>
      <c r="E54" s="54">
        <f t="shared" si="20"/>
        <v>9.8781573574644368E-3</v>
      </c>
      <c r="F54" s="54">
        <f t="shared" si="20"/>
        <v>0.10515868817579463</v>
      </c>
      <c r="G54" s="54">
        <f t="shared" si="20"/>
        <v>9.4164875434277727E-3</v>
      </c>
      <c r="H54" s="54">
        <f t="shared" si="20"/>
        <v>-1.7955536977540397E-2</v>
      </c>
      <c r="I54" s="54">
        <f t="shared" si="20"/>
        <v>3.4200221455281669E-2</v>
      </c>
      <c r="J54" s="54">
        <f t="shared" si="20"/>
        <v>-1.5460061878182982E-2</v>
      </c>
      <c r="K54" s="54">
        <f t="shared" si="20"/>
        <v>8.8632726194234776E-2</v>
      </c>
      <c r="L54" s="21">
        <f t="shared" si="21"/>
        <v>2.4265902955926486E-2</v>
      </c>
      <c r="M54" s="21"/>
      <c r="N54" s="21"/>
      <c r="O54" s="55"/>
      <c r="P54" s="55"/>
    </row>
    <row r="55" spans="2:20" hidden="1">
      <c r="C55" s="54">
        <f t="shared" si="20"/>
        <v>5.6986439358223735E-2</v>
      </c>
      <c r="D55" s="54">
        <f t="shared" si="20"/>
        <v>1.0906704743403073E-2</v>
      </c>
      <c r="E55" s="54">
        <f t="shared" si="20"/>
        <v>3.8253078495345504E-3</v>
      </c>
      <c r="F55" s="54">
        <f t="shared" si="20"/>
        <v>4.979662853307007E-2</v>
      </c>
      <c r="G55" s="54">
        <f t="shared" si="20"/>
        <v>2.0284534909198806E-2</v>
      </c>
      <c r="H55" s="54">
        <f t="shared" si="20"/>
        <v>1.8306950353203878E-2</v>
      </c>
      <c r="I55" s="54">
        <f t="shared" si="20"/>
        <v>9.3781872432083288E-2</v>
      </c>
      <c r="J55" s="54">
        <f t="shared" si="20"/>
        <v>2.1151939404670791E-2</v>
      </c>
      <c r="K55" s="54">
        <f t="shared" si="20"/>
        <v>5.4157220802068286E-2</v>
      </c>
      <c r="L55" s="21">
        <f t="shared" si="21"/>
        <v>3.6577510931717384E-2</v>
      </c>
      <c r="M55" s="21"/>
      <c r="N55" s="21"/>
      <c r="O55" s="55"/>
      <c r="P55" s="55"/>
    </row>
    <row r="56" spans="2:20" ht="16.5" hidden="1" customHeight="1">
      <c r="H56" s="16"/>
      <c r="I56" s="16"/>
      <c r="J56" s="16"/>
      <c r="K56" s="16"/>
    </row>
    <row r="57" spans="2:20" ht="16.5" hidden="1" customHeight="1"/>
    <row r="58" spans="2:20" s="17" customFormat="1" ht="16.5" hidden="1" customHeight="1">
      <c r="B58" s="16"/>
      <c r="C58" s="16"/>
      <c r="D58" s="16"/>
      <c r="E58" s="16"/>
      <c r="F58" s="16"/>
      <c r="G58" s="16"/>
      <c r="L58" s="18"/>
      <c r="M58" s="18"/>
      <c r="N58" s="18"/>
      <c r="O58" s="19"/>
      <c r="P58" s="19"/>
      <c r="Q58" s="20"/>
      <c r="R58" s="20"/>
      <c r="S58" s="20"/>
      <c r="T58" s="21"/>
    </row>
    <row r="59" spans="2:20" s="17" customFormat="1" hidden="1">
      <c r="B59" s="16"/>
      <c r="C59" s="16"/>
      <c r="D59" s="16"/>
      <c r="E59" s="16"/>
      <c r="F59" s="16"/>
      <c r="G59" s="16"/>
      <c r="L59" s="18"/>
      <c r="M59" s="18"/>
      <c r="N59" s="18"/>
      <c r="O59" s="19"/>
      <c r="P59" s="19"/>
      <c r="Q59" s="20"/>
      <c r="R59" s="20"/>
      <c r="S59" s="20"/>
      <c r="T59" s="21"/>
    </row>
    <row r="60" spans="2:20" s="17" customFormat="1" hidden="1">
      <c r="B60" s="16"/>
      <c r="C60" s="16"/>
      <c r="D60" s="16"/>
      <c r="E60" s="16"/>
      <c r="F60" s="16"/>
      <c r="G60" s="16"/>
      <c r="L60" s="18"/>
      <c r="M60" s="18"/>
      <c r="N60" s="18"/>
      <c r="O60" s="19"/>
      <c r="P60" s="19"/>
      <c r="Q60" s="20"/>
      <c r="R60" s="20"/>
      <c r="S60" s="20"/>
      <c r="T60" s="21"/>
    </row>
    <row r="61" spans="2:20" s="17" customFormat="1" hidden="1">
      <c r="B61" s="16"/>
      <c r="C61" s="16"/>
      <c r="D61" s="16"/>
      <c r="E61" s="16"/>
      <c r="F61" s="16"/>
      <c r="G61" s="16"/>
      <c r="L61" s="18"/>
      <c r="M61" s="18"/>
      <c r="N61" s="18"/>
      <c r="O61" s="19"/>
      <c r="P61" s="19"/>
      <c r="Q61" s="20"/>
      <c r="R61" s="20"/>
      <c r="S61" s="20"/>
      <c r="T61" s="21"/>
    </row>
    <row r="62" spans="2:20" s="17" customFormat="1" hidden="1">
      <c r="B62" s="16"/>
      <c r="C62" s="16"/>
      <c r="D62" s="16"/>
      <c r="E62" s="16"/>
      <c r="F62" s="16"/>
      <c r="G62" s="16"/>
      <c r="L62" s="18"/>
      <c r="M62" s="18"/>
      <c r="N62" s="18"/>
      <c r="O62" s="19"/>
      <c r="P62" s="19"/>
      <c r="Q62" s="20"/>
      <c r="R62" s="20"/>
      <c r="S62" s="20"/>
      <c r="T62" s="21"/>
    </row>
    <row r="63" spans="2:20" s="17" customFormat="1" hidden="1">
      <c r="B63" s="16"/>
      <c r="C63" s="16"/>
      <c r="D63" s="16"/>
      <c r="E63" s="16"/>
      <c r="F63" s="16"/>
      <c r="G63" s="16"/>
      <c r="L63" s="18"/>
      <c r="M63" s="18"/>
      <c r="N63" s="18"/>
      <c r="O63" s="19"/>
      <c r="P63" s="19"/>
      <c r="Q63" s="20"/>
      <c r="R63" s="20"/>
      <c r="S63" s="20"/>
      <c r="T63" s="21"/>
    </row>
  </sheetData>
  <sheetProtection algorithmName="SHA-512" hashValue="T88wcvlfWlJPGFzoJGq8iPlsBB+w4DUg6gNH+njLla9HvZiF+pXik/+NOsMhBff9LoRP3iIFiIYeCY/2kW6qVA==" saltValue="xDH4DkTZvy8d6sqqm0f/tQ==" spinCount="100000" sheet="1" objects="1" scenarios="1"/>
  <mergeCells count="1">
    <mergeCell ref="A4:L4"/>
  </mergeCells>
  <printOptions horizontalCentered="1"/>
  <pageMargins left="0.25" right="0.25" top="0.75" bottom="0.75" header="0.3" footer="0.3"/>
  <pageSetup paperSize="9"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 Electricity Consumption</vt:lpstr>
      <vt:lpstr>'6. Electricity Consumption'!Print_Area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2021-04-30T11:51:58Z</dcterms:created>
  <dcterms:modified xsi:type="dcterms:W3CDTF">2021-04-30T12:20:53Z</dcterms:modified>
</cp:coreProperties>
</file>